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63"/>
  </bookViews>
  <sheets>
    <sheet name="გეგმა" sheetId="1" r:id="rId1"/>
    <sheet name="ბიუჯეტი" sheetId="4" r:id="rId2"/>
    <sheet name="22 იანვარი" sheetId="6" state="hidden" r:id="rId3"/>
  </sheets>
  <definedNames>
    <definedName name="_xlnm._FilterDatabase" localSheetId="1" hidden="1">ბიუჯეტი!$A$1:$I$7</definedName>
    <definedName name="_xlnm._FilterDatabase" localSheetId="0" hidden="1">გეგმა!$A$7:$J$88</definedName>
    <definedName name="_xlnm.Print_Area" localSheetId="1">Table2[#All]</definedName>
    <definedName name="_xlnm.Print_Area" localSheetId="0">გეგმა!$A$1:$J$90</definedName>
  </definedNames>
  <calcPr calcId="162913"/>
</workbook>
</file>

<file path=xl/calcChain.xml><?xml version="1.0" encoding="utf-8"?>
<calcChain xmlns="http://schemas.openxmlformats.org/spreadsheetml/2006/main">
  <c r="I117" i="4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D87" i="1"/>
  <c r="D81" i="1"/>
  <c r="D55" i="1"/>
  <c r="D50" i="1"/>
  <c r="D41" i="1"/>
  <c r="D10" i="1"/>
  <c r="D52" i="1"/>
  <c r="D54" i="1"/>
  <c r="D70" i="1"/>
  <c r="D39" i="1"/>
  <c r="D31" i="1"/>
  <c r="D69" i="1"/>
  <c r="D51" i="1"/>
  <c r="D38" i="1"/>
  <c r="D53" i="1"/>
  <c r="D82" i="1"/>
  <c r="D23" i="1"/>
  <c r="E47" i="1"/>
  <c r="E26" i="1"/>
  <c r="D26" i="1"/>
  <c r="D36" i="1"/>
  <c r="D68" i="1"/>
  <c r="F105" i="4"/>
  <c r="D62" i="1"/>
  <c r="D44" i="1"/>
  <c r="D40" i="1"/>
  <c r="D34" i="1"/>
  <c r="D33" i="1"/>
  <c r="I97" i="4"/>
  <c r="F97" i="4"/>
  <c r="D72" i="1"/>
  <c r="D74" i="1"/>
  <c r="D71" i="1"/>
  <c r="D18" i="1"/>
  <c r="D85" i="1"/>
  <c r="D79" i="1"/>
  <c r="F80" i="1"/>
  <c r="E80" i="1"/>
  <c r="D80" i="1"/>
  <c r="D76" i="1"/>
  <c r="D78" i="1"/>
  <c r="E78" i="1"/>
  <c r="D86" i="1"/>
  <c r="D75" i="1"/>
  <c r="D77" i="1"/>
  <c r="F61" i="1"/>
  <c r="E56" i="1"/>
  <c r="D56" i="1"/>
  <c r="E37" i="1"/>
  <c r="D37" i="1"/>
  <c r="D9" i="1"/>
  <c r="F8" i="1"/>
  <c r="E8" i="1"/>
  <c r="D8" i="1"/>
  <c r="D15" i="1"/>
  <c r="E60" i="1"/>
  <c r="E59" i="1"/>
  <c r="D60" i="1"/>
  <c r="D59" i="1"/>
  <c r="E17" i="1"/>
  <c r="D17" i="1"/>
  <c r="E13" i="1"/>
  <c r="D13" i="1"/>
  <c r="E12" i="1"/>
  <c r="D12" i="1"/>
  <c r="G57" i="4"/>
  <c r="E14" i="1"/>
  <c r="D14" i="1"/>
  <c r="D83" i="1"/>
  <c r="D63" i="1"/>
  <c r="E84" i="1"/>
  <c r="D84" i="1"/>
  <c r="F73" i="1"/>
  <c r="E73" i="1"/>
  <c r="D73" i="1"/>
  <c r="F67" i="1"/>
  <c r="E67" i="1"/>
  <c r="D67" i="1"/>
  <c r="D66" i="1"/>
  <c r="F65" i="1"/>
  <c r="E65" i="1"/>
  <c r="D65" i="1"/>
  <c r="E64" i="1"/>
  <c r="D64" i="1"/>
  <c r="E58" i="1"/>
  <c r="D58" i="1"/>
  <c r="E83" i="1"/>
  <c r="E45" i="1"/>
  <c r="E46" i="1"/>
  <c r="E44" i="1"/>
  <c r="E43" i="1"/>
  <c r="E35" i="1"/>
  <c r="E19" i="1"/>
  <c r="E16" i="1"/>
  <c r="E42" i="1"/>
  <c r="D42" i="1"/>
  <c r="E11" i="1"/>
  <c r="E49" i="1"/>
  <c r="D49" i="1"/>
  <c r="E48" i="1"/>
  <c r="D48" i="1"/>
  <c r="D32" i="1"/>
  <c r="E31" i="1"/>
  <c r="E30" i="1"/>
  <c r="D30" i="1"/>
  <c r="E29" i="1"/>
  <c r="D29" i="1"/>
  <c r="D28" i="1"/>
  <c r="F27" i="1"/>
  <c r="E27" i="1"/>
  <c r="D27" i="1"/>
  <c r="F57" i="1"/>
  <c r="E57" i="1"/>
  <c r="D57" i="1"/>
  <c r="E24" i="1"/>
  <c r="D24" i="1"/>
  <c r="E79" i="1"/>
  <c r="E25" i="1"/>
  <c r="D25" i="1"/>
  <c r="E22" i="1"/>
  <c r="D22" i="1"/>
  <c r="F20" i="1"/>
  <c r="E21" i="1"/>
  <c r="D21" i="1"/>
  <c r="D20" i="1"/>
  <c r="F123" i="4"/>
  <c r="F143" i="4"/>
  <c r="I147" i="4"/>
  <c r="I148" i="4"/>
  <c r="I149" i="4"/>
  <c r="I150" i="4"/>
  <c r="I151" i="4"/>
  <c r="I152" i="4"/>
  <c r="I153" i="4"/>
  <c r="I146" i="4"/>
  <c r="F153" i="4"/>
  <c r="F152" i="4"/>
  <c r="F151" i="4"/>
  <c r="F150" i="4"/>
  <c r="F149" i="4"/>
  <c r="F148" i="4"/>
  <c r="F147" i="4"/>
  <c r="F146" i="4"/>
  <c r="I141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4" i="4"/>
  <c r="I45" i="4"/>
  <c r="I46" i="4"/>
  <c r="I47" i="4"/>
  <c r="I48" i="4"/>
  <c r="I49" i="4"/>
  <c r="I50" i="4"/>
  <c r="I51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3" i="4"/>
  <c r="I144" i="4"/>
  <c r="I155" i="4"/>
  <c r="I156" i="4"/>
  <c r="I157" i="4"/>
  <c r="I158" i="4"/>
  <c r="I159" i="4"/>
  <c r="I160" i="4"/>
  <c r="I161" i="4"/>
  <c r="I2" i="4"/>
  <c r="F155" i="4"/>
  <c r="F141" i="4"/>
  <c r="I162" i="4" l="1"/>
  <c r="F139" i="4"/>
  <c r="F131" i="4"/>
  <c r="F129" i="4"/>
  <c r="F127" i="4"/>
  <c r="F119" i="4"/>
  <c r="F117" i="4"/>
  <c r="F113" i="4"/>
  <c r="F110" i="4"/>
  <c r="H78" i="4"/>
  <c r="F66" i="4"/>
  <c r="F64" i="4"/>
  <c r="F63" i="4"/>
  <c r="F62" i="4"/>
  <c r="F61" i="4"/>
  <c r="F60" i="4"/>
  <c r="F55" i="4"/>
  <c r="F53" i="4"/>
  <c r="F50" i="4"/>
  <c r="G44" i="4"/>
  <c r="G39" i="4"/>
  <c r="G37" i="4"/>
  <c r="G36" i="4"/>
  <c r="G34" i="4"/>
  <c r="F28" i="4"/>
  <c r="H18" i="4"/>
  <c r="G18" i="4"/>
  <c r="G5" i="4"/>
  <c r="G4" i="4"/>
  <c r="H2" i="4"/>
  <c r="G6" i="4"/>
  <c r="G3" i="4"/>
  <c r="F8" i="4"/>
  <c r="F75" i="4" l="1"/>
  <c r="C160" i="4" l="1"/>
  <c r="C155" i="4"/>
  <c r="C143" i="4"/>
  <c r="C141" i="4"/>
  <c r="C139" i="4"/>
  <c r="C131" i="4"/>
  <c r="C129" i="4"/>
  <c r="C127" i="4"/>
  <c r="C124" i="4"/>
  <c r="C123" i="4"/>
  <c r="C117" i="4"/>
  <c r="C119" i="4"/>
  <c r="C91" i="4"/>
  <c r="C78" i="4"/>
  <c r="C20" i="4"/>
  <c r="C4" i="4"/>
  <c r="F156" i="4" l="1"/>
  <c r="G35" i="4"/>
  <c r="G38" i="4"/>
  <c r="F103" i="4"/>
  <c r="G91" i="4" l="1"/>
  <c r="G64" i="4"/>
  <c r="G63" i="4"/>
  <c r="G62" i="4"/>
  <c r="G8" i="1" l="1"/>
  <c r="F160" i="4"/>
  <c r="F158" i="4"/>
  <c r="C158" i="4"/>
  <c r="F137" i="4"/>
  <c r="C137" i="4"/>
  <c r="F135" i="4"/>
  <c r="C135" i="4"/>
  <c r="C133" i="4"/>
  <c r="F133" i="4"/>
  <c r="E127" i="4"/>
  <c r="F126" i="4" l="1"/>
  <c r="C126" i="4"/>
  <c r="F121" i="4"/>
  <c r="C121" i="4"/>
  <c r="C107" i="4"/>
  <c r="F107" i="4" l="1"/>
  <c r="C105" i="4"/>
  <c r="F86" i="4"/>
  <c r="C87" i="4"/>
  <c r="F82" i="4"/>
  <c r="C82" i="4"/>
  <c r="F80" i="4"/>
  <c r="C80" i="4"/>
  <c r="F74" i="4"/>
  <c r="F69" i="4"/>
  <c r="F68" i="4"/>
  <c r="C69" i="4" l="1"/>
  <c r="F49" i="4"/>
  <c r="F44" i="4"/>
  <c r="C115" i="4"/>
  <c r="G110" i="4"/>
  <c r="C110" i="4"/>
  <c r="G75" i="4"/>
  <c r="C74" i="4"/>
  <c r="G68" i="4"/>
  <c r="C68" i="4"/>
  <c r="C60" i="4"/>
  <c r="G41" i="4"/>
  <c r="G28" i="4"/>
  <c r="G33" i="4"/>
  <c r="F21" i="4"/>
  <c r="G13" i="4" l="1"/>
  <c r="G12" i="4"/>
  <c r="F2" i="4"/>
  <c r="F3" i="4"/>
  <c r="F4" i="4"/>
  <c r="F5" i="4"/>
  <c r="F6" i="4"/>
  <c r="F12" i="4"/>
  <c r="F13" i="4"/>
  <c r="H13" i="4"/>
  <c r="F18" i="4"/>
  <c r="F19" i="4"/>
  <c r="G19" i="4"/>
  <c r="F20" i="4"/>
  <c r="G20" i="4"/>
  <c r="G21" i="4"/>
  <c r="F22" i="4"/>
  <c r="G22" i="4"/>
  <c r="F23" i="4"/>
  <c r="F24" i="4"/>
  <c r="G24" i="4"/>
  <c r="F25" i="4"/>
  <c r="G25" i="4"/>
  <c r="G26" i="4"/>
  <c r="F46" i="4"/>
  <c r="G46" i="4"/>
  <c r="F47" i="4"/>
  <c r="G47" i="4"/>
  <c r="H47" i="4"/>
  <c r="F48" i="4"/>
  <c r="G49" i="4"/>
  <c r="H49" i="4"/>
  <c r="G50" i="4"/>
  <c r="H50" i="4"/>
  <c r="F51" i="4"/>
  <c r="G51" i="4"/>
  <c r="F57" i="4"/>
  <c r="G60" i="4"/>
  <c r="G61" i="4"/>
  <c r="H68" i="4"/>
  <c r="F72" i="4"/>
  <c r="G74" i="4"/>
  <c r="F84" i="4"/>
  <c r="G86" i="4"/>
  <c r="F90" i="4"/>
  <c r="F91" i="4"/>
  <c r="F92" i="4"/>
  <c r="F93" i="4"/>
  <c r="F94" i="4"/>
  <c r="F95" i="4"/>
  <c r="F96" i="4"/>
  <c r="F98" i="4"/>
  <c r="F99" i="4"/>
  <c r="F100" i="4"/>
  <c r="F101" i="4"/>
  <c r="F102" i="4"/>
  <c r="G115" i="4"/>
  <c r="C3" i="4"/>
  <c r="C13" i="4"/>
  <c r="C14" i="4"/>
  <c r="C44" i="4"/>
  <c r="C48" i="4"/>
  <c r="C58" i="4"/>
  <c r="C70" i="4"/>
  <c r="C72" i="4"/>
  <c r="C84" i="4"/>
  <c r="C86" i="4"/>
  <c r="C56" i="6" l="1"/>
  <c r="D56" i="6"/>
  <c r="D71" i="6"/>
  <c r="D66" i="6"/>
  <c r="D49" i="6"/>
  <c r="D48" i="6"/>
  <c r="D47" i="6"/>
  <c r="D45" i="6"/>
  <c r="D44" i="6"/>
  <c r="D41" i="6"/>
  <c r="D40" i="6"/>
  <c r="D37" i="6"/>
  <c r="D30" i="6"/>
  <c r="D26" i="6"/>
  <c r="D12" i="6"/>
  <c r="D11" i="6"/>
  <c r="C11" i="6"/>
  <c r="D9" i="6"/>
  <c r="D7" i="6"/>
  <c r="D6" i="6"/>
  <c r="D5" i="6"/>
  <c r="D70" i="6"/>
  <c r="D69" i="6"/>
  <c r="D68" i="6"/>
  <c r="D67" i="6"/>
  <c r="D65" i="6"/>
  <c r="D64" i="6"/>
  <c r="D63" i="6"/>
  <c r="D62" i="6"/>
  <c r="D61" i="6"/>
  <c r="D60" i="6"/>
  <c r="D59" i="6"/>
  <c r="D58" i="6"/>
  <c r="D57" i="6"/>
  <c r="D55" i="6"/>
  <c r="D54" i="6"/>
  <c r="D53" i="6"/>
  <c r="D52" i="6"/>
  <c r="D51" i="6"/>
  <c r="D50" i="6"/>
  <c r="D46" i="6"/>
  <c r="D43" i="6"/>
  <c r="D42" i="6"/>
  <c r="D39" i="6"/>
  <c r="D38" i="6"/>
  <c r="D36" i="6"/>
  <c r="D35" i="6"/>
  <c r="D34" i="6"/>
  <c r="D33" i="6"/>
  <c r="D32" i="6"/>
  <c r="D31" i="6"/>
  <c r="D29" i="6"/>
  <c r="D28" i="6"/>
  <c r="D27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0" i="6"/>
  <c r="D8" i="6"/>
  <c r="C71" i="6"/>
  <c r="C70" i="6"/>
  <c r="C69" i="6"/>
  <c r="C68" i="6"/>
  <c r="C67" i="6"/>
  <c r="C66" i="6"/>
  <c r="C65" i="6"/>
  <c r="C64" i="6"/>
  <c r="C63" i="6" l="1"/>
  <c r="C62" i="6"/>
  <c r="C61" i="6"/>
  <c r="C60" i="6"/>
  <c r="C59" i="6"/>
  <c r="C58" i="6"/>
  <c r="C57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29" i="6" l="1"/>
  <c r="C28" i="6"/>
  <c r="C27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0" i="6"/>
  <c r="C9" i="6"/>
  <c r="C8" i="6"/>
  <c r="C7" i="6"/>
  <c r="C6" i="6" l="1"/>
  <c r="C5" i="6"/>
  <c r="D73" i="6" l="1"/>
  <c r="D6" i="1"/>
</calcChain>
</file>

<file path=xl/comments1.xml><?xml version="1.0" encoding="utf-8"?>
<comments xmlns="http://schemas.openxmlformats.org/spreadsheetml/2006/main">
  <authors>
    <author>Author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ქაღალდი კონსოლიდირებული
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დაემატა GPS მომსახურება 24 იანვარს
</t>
        </r>
      </text>
    </comment>
    <comment ref="D11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პანდემია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გზების მოვლა შენახვა
</t>
        </r>
      </text>
    </comment>
    <comment ref="D12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საგზაო ნიშნები და ხელოვნური ბარიერები
</t>
        </r>
      </text>
    </comment>
    <comment ref="D12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საგზაო მონიშვნები
</t>
        </r>
      </text>
    </commen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სასმელი წყალი
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ამხედველობა ოპტიმალ გრუპ +
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ინფრასტრუქტურული პროექტების თანადაფინანსება
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ამხანაგობების თანადაფინანსება
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საახალწლო მორთულობები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სკვერები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საპროექტო სახარჯთაღრიცხვო დოკუმენტების შედგენა
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საბავშვო ბაღები</t>
        </r>
      </text>
    </comment>
    <comment ref="E1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ეტალონი
</t>
        </r>
      </text>
    </comment>
  </commentList>
</comments>
</file>

<file path=xl/sharedStrings.xml><?xml version="1.0" encoding="utf-8"?>
<sst xmlns="http://schemas.openxmlformats.org/spreadsheetml/2006/main" count="489" uniqueCount="249">
  <si>
    <t>დანართი #1</t>
  </si>
  <si>
    <t>2.შემსყიდველი ორგანიზაციის საიდენტიფიკაციო კოდი 218086087</t>
  </si>
  <si>
    <t>3.შემსყიდველი ორგანიზაციის დასახელება - გორის მუნიციპალიტეტის მერია</t>
  </si>
  <si>
    <t>4.დაფინანსების წყარო  -  ადგილობრივი ბიუჯეტი</t>
  </si>
  <si>
    <t xml:space="preserve">5. სახელმწიფო გეგმით გათვალისწინებული ჯამური თანხა  </t>
  </si>
  <si>
    <t>#</t>
  </si>
  <si>
    <t>კოდი</t>
  </si>
  <si>
    <t>დანაყოფების სახელწოდება</t>
  </si>
  <si>
    <t>მერია</t>
  </si>
  <si>
    <t>საკრებულო</t>
  </si>
  <si>
    <t>ჯარი</t>
  </si>
  <si>
    <t>ჯამი</t>
  </si>
  <si>
    <t>შესყიდვის საშუალება</t>
  </si>
  <si>
    <t>შესყიდვების ვადები</t>
  </si>
  <si>
    <t>შენიშვნა</t>
  </si>
  <si>
    <t>09100000</t>
  </si>
  <si>
    <t>საწვავი/საპოხი მასალები</t>
  </si>
  <si>
    <t>კონსოლიდირებული ტენდერი</t>
  </si>
  <si>
    <t>სხვადასხვა საკვები პროდუქტები</t>
  </si>
  <si>
    <t>გამარტივებული შესყიდვა</t>
  </si>
  <si>
    <t>წარმომადგენლობითი</t>
  </si>
  <si>
    <t>სასმელი, თამბაქო და მონათესავე პროდუქტები</t>
  </si>
  <si>
    <t>ტანსაცმელი</t>
  </si>
  <si>
    <t>სპეციალური ტანსაცმელი და აქსესუარები</t>
  </si>
  <si>
    <t>სამკაულები საათები და მონათესავე ნივთები</t>
  </si>
  <si>
    <t>ტყავის, ტექსტილის, რეზინისა და პლასტმასის ნარჩენი</t>
  </si>
  <si>
    <t>ნაბეჭდი წიგნები,ბროშურები და საინფორმაციო ფურცლები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</si>
  <si>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სახელმძღვანელები</t>
  </si>
  <si>
    <t>ქაღალდის და მუყაოს სარეგისტრაციო ჟურნალები,წიგნები,საბუღალტრო წიგნები,ფორმები და სხვა ნაბეჭდი საქონელი</t>
  </si>
  <si>
    <t>ელ.ტენდერი</t>
  </si>
  <si>
    <t>საოფისე მანქანა დანადგარები,აღჭურვილობასა საკანცელარიო ნივთები,კომპიუტერების პრინტერების და ავეჯის გარდა (ქაღალდი)</t>
  </si>
  <si>
    <t>კომპიუტერული მოწყობილობები და აქსესუარები (კომპიუტერები პრინტერები)</t>
  </si>
  <si>
    <t>კომპიუტერული მოწყობილობები და აქსესუარები</t>
  </si>
  <si>
    <t>ელექტროენერგიის  გამანაწილებელი  და საკონტროლო  აპარატურა</t>
  </si>
  <si>
    <t>იზოლირებული მავთულ კაბელები</t>
  </si>
  <si>
    <t>აკუმულატორები, დენის პირველადი წყაროები და პირველადი ელემენტები</t>
  </si>
  <si>
    <t>გასანათებელი  მოწყობილობები  და ელექტრო  ნათურები</t>
  </si>
  <si>
    <t>პირადი ჰიგიენის საშუალებები</t>
  </si>
  <si>
    <t>ნაწილები და აქსესუარები სატრანსპორტო საშუალებებისა და მათი ძრავებისთვის</t>
  </si>
  <si>
    <t>ავეჯი</t>
  </si>
  <si>
    <t>ავეჯის აქსესუარები</t>
  </si>
  <si>
    <t>ქსოვილის ნივთები</t>
  </si>
  <si>
    <t>გამაგრილებელი და სავენტილაციო მოწყობილობები</t>
  </si>
  <si>
    <t>სამშებლო მასალები და დამხმარე სამშნებლო მასალები</t>
  </si>
  <si>
    <t>სხვადასხვა ქარხნული წარმოების მასალა და მათთან დაკავშირებული საგნები</t>
  </si>
  <si>
    <t>სამშენებლო უბნის მოსამზადებელი სამუშაოები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</si>
  <si>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</si>
  <si>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>სამშენებლო-სამონტაჟო სამუშაოები</t>
  </si>
  <si>
    <t>შენობის დასრულების სამუშაოები</t>
  </si>
  <si>
    <t>სატრანსპორტო საშუალებების და მათთან დაკავშირებული  მოწყობილობების შეკეთება,ტექნიკური მომსახურება</t>
  </si>
  <si>
    <t>პრეისკურანტი</t>
  </si>
  <si>
    <t>პერსონალური კომპიუტერების,საოფისე აპარატურის,სატელეკომუნიკაციო და აუდიო ვიზუალური მოწყობილობების შეკეთება,ტექნიკური მომსახურება და მათთან დაკავშირებული მომსახურბა</t>
  </si>
  <si>
    <t>შენობის მოწყობილობების შეკეთება და ტექნიკური მომსახურება</t>
  </si>
  <si>
    <t>სასტუმროს მომსახურება</t>
  </si>
  <si>
    <t>რესტორნებისა და კვების საწარმოების მომსახურება</t>
  </si>
  <si>
    <t>საავტომობილო ტრანსპორტის მომსახურება</t>
  </si>
  <si>
    <t>სატელეკომუნიკაციო მომსახურება (სპეცკავშირი)</t>
  </si>
  <si>
    <t>ექსკლუზივი</t>
  </si>
  <si>
    <t>სატელეკომუნიკაციო მომსახურება (ქალაქის ტელეფონი)</t>
  </si>
  <si>
    <t>სატელეკომუნიკაციო მომსახურება (sms მომსახურება)</t>
  </si>
  <si>
    <t>სატელეკომუნიკაციო მომსახურება (მობილური)</t>
  </si>
  <si>
    <t>არქიტექტურული და მასთან დაკავშირებული მომსახურებები</t>
  </si>
  <si>
    <t>მრავალწლიანი</t>
  </si>
  <si>
    <t>საინჟინრო მომსახურებები</t>
  </si>
  <si>
    <t>ინტერნეტმომსახურებები</t>
  </si>
  <si>
    <t>აუდიტორული მომსახურება</t>
  </si>
  <si>
    <t>ოფისის მუშაობის უზრუნველყოფასთან დაკავშირებული მომსახურებები</t>
  </si>
  <si>
    <t>გამოძიებასა და უსაფრთხოებასთან დაკავშირებული მომსახურებები</t>
  </si>
  <si>
    <t>ბეჭდვა და მასთან დაკავშირებული მომსახურებები</t>
  </si>
  <si>
    <t>ნორმატიული აქტით დადგენილი გადასხდელები</t>
  </si>
  <si>
    <t>სხვადასხვა კომერციული მომსახურება და მასთან დაკავშირებული მომსახურებები</t>
  </si>
  <si>
    <t>სატრენინგო სწავლება</t>
  </si>
  <si>
    <t>დასუფთავება და სანიტარული მოსახურება</t>
  </si>
  <si>
    <t>სატელევიზიო და რადიო მომსახურებები</t>
  </si>
  <si>
    <t>ახალი ამბების სააგენტოს მომსახურება</t>
  </si>
  <si>
    <t>ბიბლიოთეკების, არქივების, მუზეუმებისა და სხვა კულტურული დაწესებულებების მომსახურება</t>
  </si>
  <si>
    <t>სხვადასხვა მომსახურება</t>
  </si>
  <si>
    <t>გორის მუნიციპალიტეტის მერი</t>
  </si>
  <si>
    <t>კონსტანტინე თავზარაშვილი</t>
  </si>
  <si>
    <t>ბიუჯეტის მუხლი</t>
  </si>
  <si>
    <t>დასახელება</t>
  </si>
  <si>
    <t>CPV</t>
  </si>
  <si>
    <t>საკანცელარიო, საწერ-სახაზავი ქაღალდის, საბუღალტრო ბლანკების, ბიულეტინების, საკანცელარიო წიგნების და სხვა ანალოგიური მასალების შეძენა</t>
  </si>
  <si>
    <t>კარტრიჯების შეძენა და დატუმბვა</t>
  </si>
  <si>
    <t xml:space="preserve">სხვა მცირეფასიანი საოფისე ტექნიკის შეძენასა და დამონტაჟებასთან დაკავშირებული ხარჯი </t>
  </si>
  <si>
    <t>ოფისისათვის სანიტარული საგნებისა და საჭირო მასალების შეძენის ხარჯი</t>
  </si>
  <si>
    <t xml:space="preserve">კავშირგაბმულობის ხარჯი </t>
  </si>
  <si>
    <t xml:space="preserve"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 </t>
  </si>
  <si>
    <t xml:space="preserve">შენობა-ნაგებობის და მათი მიმდებარე ტერიტორიების მოვლა/დასუფთავების ხარჯი </t>
  </si>
  <si>
    <t xml:space="preserve">ოფისის ხარჯი რომელიც არ არის კლასიფიცირებული </t>
  </si>
  <si>
    <t xml:space="preserve">წარმომადგენლობითი ხარჯები </t>
  </si>
  <si>
    <t xml:space="preserve">რბილი ინვენტარის, უნიფორმის შეძენის და პირად ჰიგიენასთან დაკავშირებული ხარჯები </t>
  </si>
  <si>
    <t xml:space="preserve">საწვავ/საპოხი მასალების შეძენის ხარჯი </t>
  </si>
  <si>
    <t xml:space="preserve">მიმდინარე რემონტის ხარჯი </t>
  </si>
  <si>
    <t>ექსპლუატაციის, მოვლა-შენახვის და სათადარიგო ნაწილების შეძენის ხარჯი</t>
  </si>
  <si>
    <t xml:space="preserve">საკონსულტაციო, სანოტარო, თარჯიმნის და თარგმნის მომსახურების ხარჯი </t>
  </si>
  <si>
    <t xml:space="preserve">აუდიტორული მომსახურების ხარჯი </t>
  </si>
  <si>
    <t xml:space="preserve">საარქივო მომსახურების ხარჯი </t>
  </si>
  <si>
    <t xml:space="preserve">შენობა-ნაგებობის დაცვის ხარჯი </t>
  </si>
  <si>
    <t xml:space="preserve">ტრანსპორტის დაქირავების (გადაზიდვა-გადაყვანის) ხარჯი </t>
  </si>
  <si>
    <t>ნორმატიული აქტების, საცნობარო და სპეციალური ლიტერატურის,  ჟურნალ-გაზეთის შეძენა და ყველა სახის საგამომცემლო-სასტამბო (არაძირითადი საქმიანობის) ხარჯები</t>
  </si>
  <si>
    <t xml:space="preserve">სხვა დანარჩენ საქონელსა და მომსახურებაზე გაწეული დანარჩენი ხარჯი </t>
  </si>
  <si>
    <t xml:space="preserve">კომპიუტერის შეძენა </t>
  </si>
  <si>
    <t>პრინტერის, სკანერის და ასლგადამღების შეძენა</t>
  </si>
  <si>
    <t>მსუბუქი ავტომობილი</t>
  </si>
  <si>
    <t>ავტოსატრანსპორტო საშუალებები</t>
  </si>
  <si>
    <t xml:space="preserve">სხვა მანქანა-დანადგარები და ინვენტარის შეძენა რომელიც არ არის კლასიფიცირებული </t>
  </si>
  <si>
    <t xml:space="preserve">კადრების მომზადება-გადამზადებასთან, კვალიფიკაციის ამაღლებასა და სტაჟირებასთან დაკავშირებული ხარჯი </t>
  </si>
  <si>
    <t>02 01 01</t>
  </si>
  <si>
    <t xml:space="preserve">ელექტრო გადაცემი ხაზები </t>
  </si>
  <si>
    <t>ბიუჯეტის თანხა</t>
  </si>
  <si>
    <t xml:space="preserve">საკანალიზაციო და წყლის მომარაგების სისტემები </t>
  </si>
  <si>
    <t xml:space="preserve">სხვადასხვა მიმდინარე ხარჯების სხვა დანარჩენი მიმდინარე ხარჯი </t>
  </si>
  <si>
    <t>05 05 24</t>
  </si>
  <si>
    <t>ბიზნესსა და მენეჯმენტთან დაკავშირებული კონსულტაციები და მომსახურებები</t>
  </si>
  <si>
    <t>ქსელები</t>
  </si>
  <si>
    <t>ქუჩები</t>
  </si>
  <si>
    <t>სხვადასხვა სატრანსპორტო მოწყობილობა და სათადარიგო ნაწილები</t>
  </si>
  <si>
    <t>განმარტებითი ბარათი</t>
  </si>
  <si>
    <t xml:space="preserve">        გეგმაში აისახა:</t>
  </si>
  <si>
    <t>თანხა</t>
  </si>
  <si>
    <t>ცვლილება</t>
  </si>
  <si>
    <t>CPV კოდი</t>
  </si>
  <si>
    <t>საწვავი (კონსოლიდირებული ტენდერი)</t>
  </si>
  <si>
    <t>სხვადასხვა  საკვები  პროდუქტები (წარმომადგნლობითი ხარჯი)</t>
  </si>
  <si>
    <r>
      <t>სასმელები</t>
    </r>
    <r>
      <rPr>
        <sz val="11"/>
        <color rgb="FF000000"/>
        <rFont val="AcadNusx"/>
      </rPr>
      <t xml:space="preserve">, </t>
    </r>
    <r>
      <rPr>
        <sz val="11"/>
        <color rgb="FF000000"/>
        <rFont val="Sylfaen"/>
        <family val="1"/>
        <charset val="204"/>
      </rPr>
      <t>თამბაქო  და მონათესავე  პროდუქტები (წარმომადგნლობითი ხარჯი)</t>
    </r>
  </si>
  <si>
    <t>სასმელი წყალი</t>
  </si>
  <si>
    <t>სპორტული ტანსაცმელი</t>
  </si>
  <si>
    <t>რეზინის ხელთათმანები</t>
  </si>
  <si>
    <t>სუვენირები და საჩუქრები (წარმომადგენლობითი ხარჯი)</t>
  </si>
  <si>
    <t>ნაგვის პარკები</t>
  </si>
  <si>
    <t>ნაბეჭდი წიგნები,ბროშურები საინფორმაციო ფურცლები სააღრიცხვო ბარათები</t>
  </si>
  <si>
    <t>შეკვეთით ნაბეჭდი მასალა</t>
  </si>
  <si>
    <t>ქაღალდის ან მუყაოს სარეგ/ჟურნალები,წიგნები,საბუღალტრო წიგნები,ფორმები და სხვა საბეჭდი საკანცელარიო ნივთები</t>
  </si>
  <si>
    <t>საოფისე მარაგი (საკანცელარიო საქონელი/კარტრიჯები)</t>
  </si>
  <si>
    <t>საბეჭდი ქაღალდი (კონსოლიდირებული ტენდერი)</t>
  </si>
  <si>
    <t>კომპიუტერები (კონსოლიდირებული ტენდერი)</t>
  </si>
  <si>
    <t>ელექტრო ენერგიის გამანაწილებელი მოწყობილობა</t>
  </si>
  <si>
    <t>ელემენტები</t>
  </si>
  <si>
    <t>გასანათებელი მოწყობილობები და ელექტრო ნათურები</t>
  </si>
  <si>
    <t>ვიდეო კამერა, ტელევიზორები</t>
  </si>
  <si>
    <t>ქსელური მოწყობილობები</t>
  </si>
  <si>
    <t>პირადი ჰიგიენის საშაუალებები</t>
  </si>
  <si>
    <t>მსუბუქი ავტომანქანის საბურავები (კონსოლიდირებული ტენდერი)</t>
  </si>
  <si>
    <t xml:space="preserve">ავეჯი </t>
  </si>
  <si>
    <t>მოპი,შვაბრა, ცოცხი და ა.შ.</t>
  </si>
  <si>
    <t>ტილოები</t>
  </si>
  <si>
    <t>საწმენდი და საპრიალებელი საშუალებები</t>
  </si>
  <si>
    <t>კონდიციონერი</t>
  </si>
  <si>
    <t>შლაგბაუმი, საცხოვრებელი კონტეინერი</t>
  </si>
  <si>
    <t>სხვადასხვა ქარხნული წარმოების მასალა და მათთან დაკავშირებული საგნები (სანტექნიკა, აბრები)</t>
  </si>
  <si>
    <t xml:space="preserve">მთლიანი ან ნაწილობრივი სამშენებლო სამუშაოები და სამოქალაქო მშენებლობის სამუშაოები გზების მოვლა შენახვა </t>
  </si>
  <si>
    <t>სოფლის კლუბების, სამუსიკო სკოლების, ბიბლიოთეკების, მუზეუმებისა და საბავშვო ბაღების რეაბილიტაცია</t>
  </si>
  <si>
    <t>ბუღალტრული აღრიცხვის პროგრამა</t>
  </si>
  <si>
    <t>ავტომობილების და მათთან დაკავშირებული მოწყობილობების შეკეთება და ტექ. მომსახურება</t>
  </si>
  <si>
    <t>პერსონალური კომპიუტერების,საოფისე აპარატის ტექნიკური მომსახურება და შეკეთება(კარტრიჯების დატენვა)</t>
  </si>
  <si>
    <t>სასტუმროს მომსახურება(წარმომადგენლობითი ხარჯი)</t>
  </si>
  <si>
    <t>სარესტორნო მომსახურება(წარმომადგენლობითი ხარჯი)</t>
  </si>
  <si>
    <t>სატელეკომუნიკაციო მომსახურება (ადგილობრივი ტელეფონები)</t>
  </si>
  <si>
    <t>სატელეკომუნიკაციო მომსახურება (მობილური ტელეფონები)(კონსოლიდირებული ტენდერი)</t>
  </si>
  <si>
    <t>საზედამხედველო მომსახურება ოპტიმალ გრუპ +</t>
  </si>
  <si>
    <t>საპროექტო-საინჟინრო მომსახურება</t>
  </si>
  <si>
    <t>გენ-გეგმა</t>
  </si>
  <si>
    <t>დაცვის პოლიციის მომსახურება</t>
  </si>
  <si>
    <t>კანცელარიის საქმეების აკინძვა</t>
  </si>
  <si>
    <t>სატრენინგო მომსახურება</t>
  </si>
  <si>
    <t>შენობის დასუფთავება</t>
  </si>
  <si>
    <t>სატელევიზიო მომსახურება</t>
  </si>
  <si>
    <t>არქივის მომსახურება</t>
  </si>
  <si>
    <t>დამკრძალავი ბიუროს მომსახურება</t>
  </si>
  <si>
    <t>2019 წლის 22 იანვარი</t>
  </si>
  <si>
    <t>გორის მუნიციპალიტეტის მერიის 2019 წლის სახელმწიფო შესყიდვების გეგმაში ასასახი შესყიდვები (დაფინანსების წყარო - ადგილობრივი ბიუჯეტი)</t>
  </si>
  <si>
    <t>სუვენირები და საჩუქრები</t>
  </si>
  <si>
    <t>-</t>
  </si>
  <si>
    <t>კომპიუტერული მოწყობილობები</t>
  </si>
  <si>
    <t>ავტოსატრანსპორტო საშუალებები (კონსოლიდირებული ტენდერი)</t>
  </si>
  <si>
    <t>ფოტოაპარატები</t>
  </si>
  <si>
    <t>სამგზავრო სატრანსპორტო საშუალებების დაქირავება (სამხედრო გაწვევის და აღრიცხვის სამსახურისთვის)</t>
  </si>
  <si>
    <t>სათარჯიმნო მომსახურება</t>
  </si>
  <si>
    <t>ბეჭვდვა</t>
  </si>
  <si>
    <t>ნაგვის ურნები, საგზაო ნიშნები</t>
  </si>
  <si>
    <t>სამშენებლო მასალები</t>
  </si>
  <si>
    <t>ტექნიკური შემოწმება, ანალიზი და საკონსულტაციო მომსახურებები</t>
  </si>
  <si>
    <t>სხვადასხვა არალითონური მინერალური პროდუქტები</t>
  </si>
  <si>
    <t>ადმინისტრაციული მომსახურება</t>
  </si>
  <si>
    <t>საოჯახო ტექნიკა</t>
  </si>
  <si>
    <t> სამედიცინო მოწყობილობები</t>
  </si>
  <si>
    <t>ფარმაცევტული პროდუქტები</t>
  </si>
  <si>
    <t>ინდივიდუალური და დამხმარე მოწყობილობები</t>
  </si>
  <si>
    <t>საღებავები, ლაქები და მასტიკები</t>
  </si>
  <si>
    <r>
      <t xml:space="preserve">საოფისე მანქანა დანადგარები,აღჭურვილობა და საკანცელარიო ნივთები,კომპიუტერების პრინტერების და ავეჯის გარდა </t>
    </r>
    <r>
      <rPr>
        <b/>
        <sz val="12"/>
        <color rgb="FFFF0000"/>
        <rFont val="Calibri"/>
        <family val="2"/>
        <scheme val="minor"/>
      </rPr>
      <t>კარტრიჯები/საკანცელარიო</t>
    </r>
  </si>
  <si>
    <t>კომპიუტერული ტექნიკა</t>
  </si>
  <si>
    <t>საოფისე ავეჯი</t>
  </si>
  <si>
    <t xml:space="preserve">სხვა საოფისე მცირეფასიანი ინვენტარის შეძენასა და დამონტაჟებასთან დაკავშირებული ხარჯი </t>
  </si>
  <si>
    <t xml:space="preserve">რეცხვის, ქიმწმენდის და სანიტარული საგნების შეძენის  ხარჯი </t>
  </si>
  <si>
    <t>09200000</t>
  </si>
  <si>
    <t>02 01 02</t>
  </si>
  <si>
    <t>გზები</t>
  </si>
  <si>
    <t>02 01 03</t>
  </si>
  <si>
    <t>02 06 01</t>
  </si>
  <si>
    <t>02 07</t>
  </si>
  <si>
    <t>საპროექტო დოკუმენტაციისა და სამშენებლო სამუშაოების ტექნიკური ზედამხედველობის მომსახურება</t>
  </si>
  <si>
    <t>02 08</t>
  </si>
  <si>
    <t>ინფრასტრუქტურული პროექტების  თანადაფინანსება</t>
  </si>
  <si>
    <t>02 09</t>
  </si>
  <si>
    <t>ბინათმესაკუთრეთა ამხანაგობების და ინდივიდუალური საცხოვრებელი სახლების მესაკუთრეთა გაერთიანებების თანადაფინანსება</t>
  </si>
  <si>
    <t>საახალწლოდ ქალაქის მორთვის ღონისძიებები</t>
  </si>
  <si>
    <t>02 12</t>
  </si>
  <si>
    <t>სკვერებისა და გაზონების რეაბილიტაცია</t>
  </si>
  <si>
    <t>02 14</t>
  </si>
  <si>
    <t>დეფექტური აქტების, პროექტების და ხარჯთაღრიცხვების მომსახურების დაფინანსება</t>
  </si>
  <si>
    <t>02 18</t>
  </si>
  <si>
    <t>04 01</t>
  </si>
  <si>
    <t>სკოლამდელი დაწესებულებების
მშენებლობა-რეაბილიტაცია</t>
  </si>
  <si>
    <t>გორის ციხის მიმდებარე ტერიტორიის დაცვა</t>
  </si>
  <si>
    <t>06 05 07</t>
  </si>
  <si>
    <t>მიცვალებულთა სარიტუალო მომსახურება</t>
  </si>
  <si>
    <t>ნავთობი, ქვანახშირი და ნავთობპროდუქტები</t>
  </si>
  <si>
    <t>სადაზღვევო და საპენსიო მომსახურებები</t>
  </si>
  <si>
    <t>სახმელეთო, წყლისა და საჰაერო ტრანსპორტის დამხმარე მომსახურებები</t>
  </si>
  <si>
    <t>საწმენდი საპრიალებელი პროდუქცია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</si>
  <si>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</si>
  <si>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სასუქები და ნიტროგენული ნაერთები</t>
  </si>
  <si>
    <t>2021 წლის I, II, III, IV კვარტალი</t>
  </si>
  <si>
    <t>საფოსტო  და საკურიერო მომსახურებები</t>
  </si>
  <si>
    <t>გამათბობელი და გამაგრილებელი ტექნიკა</t>
  </si>
  <si>
    <t>საფოსტო მომსახურების ხარჯი</t>
  </si>
  <si>
    <t>01,03</t>
  </si>
  <si>
    <t>01,01,01</t>
  </si>
  <si>
    <t>01,01,02</t>
  </si>
  <si>
    <t>01,01,03</t>
  </si>
  <si>
    <t>01,02,03</t>
  </si>
  <si>
    <t>საქონელი და მომსახურება</t>
  </si>
  <si>
    <t>02,15</t>
  </si>
  <si>
    <t>გორის მუნიციპალიტეტის ტერიტორიაზე მოსაწყობი ვიდეო სამეთვალყურეო სისტემის შეძენა</t>
  </si>
  <si>
    <t>02,30</t>
  </si>
  <si>
    <t>სამოქალაქო ბიუჯეტი</t>
  </si>
  <si>
    <t xml:space="preserve">არასაცხოვრებელი შენობები </t>
  </si>
  <si>
    <t xml:space="preserve">გზები </t>
  </si>
  <si>
    <t xml:space="preserve">სხვა შენობა-ნაგებობები </t>
  </si>
  <si>
    <t xml:space="preserve">მანქანა დანადგარები და ინვენტარი </t>
  </si>
  <si>
    <t xml:space="preserve">სხვა მანქანა-დანადგარები და ინვენტარის შეძენა </t>
  </si>
  <si>
    <t>09300000</t>
  </si>
  <si>
    <t>გორის მუნიციპალიტეტის მერიის 2021 წლის სახელმწიფო შესყიდვების გეგმა</t>
  </si>
  <si>
    <t>1.შედგენის თარიღი 20.11.2020 წ.</t>
  </si>
  <si>
    <t>პროგრამული უზრუნველყოფის შემუშავება და საკონსულტაციო მომსახურებები</t>
  </si>
  <si>
    <t>ელექტროენერგია, გათბობა, მზისა და ბირთვული ენერგია</t>
  </si>
  <si>
    <t>სპორტული საქონელი და აღჭურვილობა - (ინვენტარი)</t>
  </si>
  <si>
    <t>ავზები, რეზერვუარები და კონტეინერები; ცენტრალური გათბობის რადიატორები და ბოილერები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</si>
</sst>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L_a_r_i_-;\-* #,##0.00\ _L_a_r_i_-;_-* &quot;-&quot;??\ _L_a_r_i_-;_-@_-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1"/>
      <name val="Sylfaen"/>
      <family val="1"/>
    </font>
    <font>
      <i/>
      <sz val="11"/>
      <name val="Sylfaen"/>
      <family val="1"/>
    </font>
    <font>
      <b/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1"/>
      <name val="Sylfaen"/>
      <family val="1"/>
    </font>
    <font>
      <sz val="10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Sylfaen"/>
      <family val="1"/>
    </font>
    <font>
      <sz val="9"/>
      <color indexed="81"/>
      <name val="Tahoma"/>
      <family val="2"/>
    </font>
    <font>
      <b/>
      <sz val="11"/>
      <name val="Sylfaen"/>
      <family val="1"/>
      <charset val="204"/>
    </font>
    <font>
      <b/>
      <sz val="9"/>
      <color indexed="81"/>
      <name val="Tahoma"/>
      <family val="2"/>
    </font>
    <font>
      <b/>
      <sz val="10"/>
      <color theme="1"/>
      <name val="Sylfaen"/>
      <family val="1"/>
    </font>
    <font>
      <sz val="20"/>
      <color theme="1"/>
      <name val="Calibri"/>
      <family val="2"/>
      <scheme val="minor"/>
    </font>
    <font>
      <sz val="11"/>
      <color rgb="FF000000"/>
      <name val="Sylfaen"/>
      <family val="1"/>
      <charset val="204"/>
    </font>
    <font>
      <sz val="11"/>
      <color rgb="FF000000"/>
      <name val="AcadNusx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Sylfaen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67">
    <xf numFmtId="0" fontId="0" fillId="0" borderId="0" xfId="0"/>
    <xf numFmtId="0" fontId="8" fillId="0" borderId="2" xfId="0" applyFont="1" applyFill="1" applyBorder="1" applyAlignment="1">
      <alignment horizontal="left" vertical="center" wrapText="1" indent="3"/>
    </xf>
    <xf numFmtId="0" fontId="8" fillId="3" borderId="2" xfId="0" applyFont="1" applyFill="1" applyBorder="1" applyAlignment="1">
      <alignment horizontal="left" vertical="center" wrapText="1" indent="3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5" fontId="10" fillId="0" borderId="2" xfId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65" fontId="10" fillId="3" borderId="2" xfId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2" xfId="0" quotePrefix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left" vertical="center" wrapText="1" indent="3"/>
    </xf>
    <xf numFmtId="165" fontId="10" fillId="3" borderId="2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 indent="4"/>
    </xf>
    <xf numFmtId="0" fontId="10" fillId="0" borderId="2" xfId="0" applyFont="1" applyFill="1" applyBorder="1" applyAlignment="1">
      <alignment horizontal="left" vertical="center" wrapText="1" indent="5"/>
    </xf>
    <xf numFmtId="0" fontId="9" fillId="0" borderId="2" xfId="0" applyFont="1" applyFill="1" applyBorder="1" applyAlignment="1">
      <alignment horizontal="left" vertical="center" wrapText="1" indent="5"/>
    </xf>
    <xf numFmtId="2" fontId="11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2" fontId="16" fillId="0" borderId="2" xfId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2" xfId="0" quotePrefix="1" applyFont="1" applyFill="1" applyBorder="1" applyAlignment="1">
      <alignment horizontal="center" vertical="center"/>
    </xf>
    <xf numFmtId="165" fontId="16" fillId="0" borderId="2" xfId="1" applyNumberFormat="1" applyFont="1" applyFill="1" applyBorder="1" applyAlignment="1">
      <alignment horizontal="center" vertical="center"/>
    </xf>
    <xf numFmtId="165" fontId="16" fillId="2" borderId="2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 indent="3"/>
    </xf>
    <xf numFmtId="0" fontId="10" fillId="2" borderId="2" xfId="0" quotePrefix="1" applyFont="1" applyFill="1" applyBorder="1" applyAlignment="1">
      <alignment horizontal="center" vertical="center"/>
    </xf>
    <xf numFmtId="165" fontId="10" fillId="2" borderId="2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165" fontId="16" fillId="0" borderId="2" xfId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2" fontId="20" fillId="0" borderId="2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2" borderId="2" xfId="0" quotePrefix="1" applyFont="1" applyFill="1" applyBorder="1" applyAlignment="1">
      <alignment horizontal="center" vertical="center"/>
    </xf>
    <xf numFmtId="165" fontId="20" fillId="0" borderId="2" xfId="1" applyNumberFormat="1" applyFont="1" applyFill="1" applyBorder="1" applyAlignment="1">
      <alignment horizontal="center" vertical="center"/>
    </xf>
    <xf numFmtId="165" fontId="20" fillId="2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5" fillId="0" borderId="0" xfId="1" applyFont="1" applyFill="1" applyAlignment="1">
      <alignment horizontal="center" vertical="center"/>
    </xf>
    <xf numFmtId="165" fontId="5" fillId="2" borderId="2" xfId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4" fillId="0" borderId="2" xfId="0" quotePrefix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5" fontId="24" fillId="2" borderId="2" xfId="1" applyFont="1" applyFill="1" applyBorder="1" applyAlignment="1">
      <alignment horizontal="center" vertical="center"/>
    </xf>
    <xf numFmtId="165" fontId="5" fillId="0" borderId="2" xfId="1" applyFont="1" applyFill="1" applyBorder="1" applyAlignment="1">
      <alignment horizontal="center" vertical="center"/>
    </xf>
    <xf numFmtId="165" fontId="24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5" fillId="8" borderId="2" xfId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5" fontId="6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65" fontId="28" fillId="0" borderId="0" xfId="1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65" fontId="28" fillId="0" borderId="2" xfId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165" fontId="28" fillId="0" borderId="5" xfId="1" applyFont="1" applyFill="1" applyBorder="1" applyAlignment="1">
      <alignment horizontal="left" vertical="center" wrapText="1"/>
    </xf>
    <xf numFmtId="0" fontId="28" fillId="0" borderId="5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65" fontId="30" fillId="0" borderId="2" xfId="1" applyFont="1" applyFill="1" applyBorder="1" applyAlignment="1">
      <alignment horizontal="center" vertical="center"/>
    </xf>
    <xf numFmtId="0" fontId="30" fillId="0" borderId="2" xfId="1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165" fontId="32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/>
    </xf>
    <xf numFmtId="165" fontId="32" fillId="0" borderId="2" xfId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165" fontId="32" fillId="0" borderId="6" xfId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34" fillId="0" borderId="0" xfId="1" applyFont="1" applyFill="1" applyBorder="1" applyAlignment="1">
      <alignment vertical="center"/>
    </xf>
    <xf numFmtId="0" fontId="34" fillId="0" borderId="0" xfId="1" applyNumberFormat="1" applyFont="1" applyFill="1" applyBorder="1" applyAlignment="1">
      <alignment vertical="center"/>
    </xf>
    <xf numFmtId="165" fontId="32" fillId="0" borderId="0" xfId="1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2" xfId="0" quotePrefix="1" applyFont="1" applyFill="1" applyBorder="1" applyAlignment="1">
      <alignment horizontal="center" vertical="center"/>
    </xf>
    <xf numFmtId="2" fontId="35" fillId="3" borderId="2" xfId="0" applyNumberFormat="1" applyFont="1" applyFill="1" applyBorder="1" applyAlignment="1">
      <alignment horizontal="center" vertical="center"/>
    </xf>
    <xf numFmtId="165" fontId="35" fillId="3" borderId="2" xfId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65" fontId="35" fillId="0" borderId="2" xfId="1" applyFont="1" applyFill="1" applyBorder="1" applyAlignment="1">
      <alignment horizontal="center" vertical="center"/>
    </xf>
    <xf numFmtId="165" fontId="35" fillId="3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5" fillId="0" borderId="2" xfId="0" quotePrefix="1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2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35" fillId="0" borderId="2" xfId="1" applyNumberFormat="1" applyFont="1" applyFill="1" applyBorder="1" applyAlignment="1">
      <alignment horizontal="center" vertical="center"/>
    </xf>
    <xf numFmtId="165" fontId="35" fillId="2" borderId="2" xfId="1" applyNumberFormat="1" applyFont="1" applyFill="1" applyBorder="1" applyAlignment="1">
      <alignment horizontal="center" vertical="center"/>
    </xf>
    <xf numFmtId="2" fontId="35" fillId="3" borderId="2" xfId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35" fillId="0" borderId="2" xfId="1" applyNumberFormat="1" applyFont="1" applyFill="1" applyBorder="1" applyAlignment="1">
      <alignment horizontal="center" vertical="center"/>
    </xf>
    <xf numFmtId="165" fontId="35" fillId="3" borderId="2" xfId="0" applyNumberFormat="1" applyFont="1" applyFill="1" applyBorder="1" applyAlignment="1">
      <alignment horizontal="center" vertical="center"/>
    </xf>
    <xf numFmtId="0" fontId="35" fillId="2" borderId="2" xfId="0" quotePrefix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 wrapText="1"/>
    </xf>
    <xf numFmtId="165" fontId="27" fillId="0" borderId="3" xfId="0" applyNumberFormat="1" applyFont="1" applyFill="1" applyBorder="1" applyAlignment="1">
      <alignment horizontal="center" vertical="center"/>
    </xf>
    <xf numFmtId="165" fontId="27" fillId="0" borderId="4" xfId="0" applyNumberFormat="1" applyFont="1" applyFill="1" applyBorder="1" applyAlignment="1">
      <alignment horizontal="center" vertical="center"/>
    </xf>
    <xf numFmtId="165" fontId="27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Comma" xfId="1" builtinId="3"/>
    <cellStyle name="Comma 7" xfId="2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numFmt numFmtId="2" formatCode="0.0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I165" totalsRowShown="0" headerRowDxfId="12" dataDxfId="10" headerRowBorderDxfId="11" tableBorderDxfId="9">
  <autoFilter ref="A1:I165"/>
  <tableColumns count="9">
    <tableColumn id="1" name="#" dataDxfId="8"/>
    <tableColumn id="2" name="ბიუჯეტის მუხლი" dataDxfId="7"/>
    <tableColumn id="3" name="ბიუჯეტის თანხა" dataDxfId="6"/>
    <tableColumn id="4" name="დასახელება" dataDxfId="5"/>
    <tableColumn id="5" name="CPV" dataDxfId="4"/>
    <tableColumn id="6" name="მერია" dataDxfId="3"/>
    <tableColumn id="7" name="საკრებულო" dataDxfId="2"/>
    <tableColumn id="8" name="ჯარი" dataDxfId="1"/>
    <tableColumn id="9" name="ჯამი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BreakPreview" zoomScale="70" zoomScaleSheetLayoutView="70" workbookViewId="0">
      <selection sqref="A1:J1"/>
    </sheetView>
  </sheetViews>
  <sheetFormatPr defaultRowHeight="15.75" x14ac:dyDescent="0.25"/>
  <cols>
    <col min="1" max="1" width="5.140625" style="79" customWidth="1"/>
    <col min="2" max="2" width="10.85546875" style="77" customWidth="1"/>
    <col min="3" max="3" width="48.28515625" style="80" customWidth="1"/>
    <col min="4" max="4" width="20.7109375" style="83" customWidth="1"/>
    <col min="5" max="5" width="17" style="84" customWidth="1"/>
    <col min="6" max="6" width="18.5703125" style="84" customWidth="1"/>
    <col min="7" max="7" width="21" style="84" customWidth="1"/>
    <col min="8" max="8" width="35.85546875" style="81" customWidth="1"/>
    <col min="9" max="9" width="37.140625" style="81" customWidth="1"/>
    <col min="10" max="10" width="21.7109375" style="82" customWidth="1"/>
    <col min="11" max="11" width="9.140625" style="76"/>
    <col min="12" max="12" width="33.28515625" style="76" customWidth="1"/>
    <col min="13" max="16384" width="9.140625" style="76"/>
  </cols>
  <sheetData>
    <row r="1" spans="1:10" ht="21" x14ac:dyDescent="0.25">
      <c r="A1" s="156" t="s">
        <v>243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x14ac:dyDescent="0.25">
      <c r="A3" s="91" t="s">
        <v>0</v>
      </c>
      <c r="B3" s="91"/>
      <c r="C3" s="92"/>
      <c r="D3" s="93"/>
      <c r="E3" s="94"/>
      <c r="F3" s="94"/>
      <c r="G3" s="94"/>
      <c r="H3" s="95"/>
      <c r="I3" s="95"/>
      <c r="J3" s="96"/>
    </row>
    <row r="4" spans="1:10" x14ac:dyDescent="0.25">
      <c r="A4" s="157" t="s">
        <v>244</v>
      </c>
      <c r="B4" s="157"/>
      <c r="C4" s="157"/>
      <c r="D4" s="97"/>
      <c r="E4" s="98"/>
      <c r="F4" s="98"/>
      <c r="G4" s="98"/>
      <c r="H4" s="157" t="s">
        <v>1</v>
      </c>
      <c r="I4" s="157"/>
      <c r="J4" s="157"/>
    </row>
    <row r="5" spans="1:10" ht="35.25" customHeight="1" x14ac:dyDescent="0.25">
      <c r="A5" s="153" t="s">
        <v>2</v>
      </c>
      <c r="B5" s="154"/>
      <c r="C5" s="158"/>
      <c r="D5" s="99"/>
      <c r="E5" s="100"/>
      <c r="F5" s="100"/>
      <c r="G5" s="100"/>
      <c r="H5" s="157" t="s">
        <v>3</v>
      </c>
      <c r="I5" s="157"/>
      <c r="J5" s="157"/>
    </row>
    <row r="6" spans="1:10" ht="39.75" customHeight="1" x14ac:dyDescent="0.25">
      <c r="A6" s="153" t="s">
        <v>4</v>
      </c>
      <c r="B6" s="154"/>
      <c r="C6" s="154"/>
      <c r="D6" s="159">
        <f>G88</f>
        <v>12366010</v>
      </c>
      <c r="E6" s="160"/>
      <c r="F6" s="160"/>
      <c r="G6" s="160"/>
      <c r="H6" s="160"/>
      <c r="I6" s="160"/>
      <c r="J6" s="161"/>
    </row>
    <row r="7" spans="1:10" x14ac:dyDescent="0.25">
      <c r="A7" s="101" t="s">
        <v>5</v>
      </c>
      <c r="B7" s="102" t="s">
        <v>6</v>
      </c>
      <c r="C7" s="103" t="s">
        <v>7</v>
      </c>
      <c r="D7" s="104" t="s">
        <v>8</v>
      </c>
      <c r="E7" s="105" t="s">
        <v>9</v>
      </c>
      <c r="F7" s="105" t="s">
        <v>10</v>
      </c>
      <c r="G7" s="105" t="s">
        <v>11</v>
      </c>
      <c r="H7" s="103" t="s">
        <v>12</v>
      </c>
      <c r="I7" s="106" t="s">
        <v>13</v>
      </c>
      <c r="J7" s="107" t="s">
        <v>14</v>
      </c>
    </row>
    <row r="8" spans="1:10" ht="31.5" x14ac:dyDescent="0.25">
      <c r="A8" s="101">
        <v>4</v>
      </c>
      <c r="B8" s="108" t="s">
        <v>15</v>
      </c>
      <c r="C8" s="109" t="s">
        <v>16</v>
      </c>
      <c r="D8" s="110">
        <f>115000</f>
        <v>115000</v>
      </c>
      <c r="E8" s="110">
        <f>15000</f>
        <v>15000</v>
      </c>
      <c r="F8" s="110">
        <f>14000</f>
        <v>14000</v>
      </c>
      <c r="G8" s="110">
        <f t="shared" ref="G8:G71" si="0">D8+E8+F8</f>
        <v>144000</v>
      </c>
      <c r="H8" s="103" t="s">
        <v>17</v>
      </c>
      <c r="I8" s="103" t="s">
        <v>223</v>
      </c>
      <c r="J8" s="111"/>
    </row>
    <row r="9" spans="1:10" ht="31.5" x14ac:dyDescent="0.25">
      <c r="A9" s="101">
        <v>5</v>
      </c>
      <c r="B9" s="108" t="s">
        <v>195</v>
      </c>
      <c r="C9" s="109" t="s">
        <v>217</v>
      </c>
      <c r="D9" s="110">
        <f>5000</f>
        <v>5000</v>
      </c>
      <c r="E9" s="110"/>
      <c r="F9" s="110"/>
      <c r="G9" s="110">
        <f t="shared" si="0"/>
        <v>5000</v>
      </c>
      <c r="H9" s="103" t="s">
        <v>17</v>
      </c>
      <c r="I9" s="103" t="s">
        <v>223</v>
      </c>
      <c r="J9" s="111"/>
    </row>
    <row r="10" spans="1:10" ht="31.5" x14ac:dyDescent="0.25">
      <c r="A10" s="101"/>
      <c r="B10" s="108" t="s">
        <v>242</v>
      </c>
      <c r="C10" s="103" t="s">
        <v>246</v>
      </c>
      <c r="D10" s="110">
        <f>150000</f>
        <v>150000</v>
      </c>
      <c r="E10" s="110"/>
      <c r="F10" s="110"/>
      <c r="G10" s="110">
        <f t="shared" si="0"/>
        <v>150000</v>
      </c>
      <c r="H10" s="103" t="s">
        <v>29</v>
      </c>
      <c r="I10" s="103" t="s">
        <v>223</v>
      </c>
      <c r="J10" s="111"/>
    </row>
    <row r="11" spans="1:10" ht="31.5" x14ac:dyDescent="0.25">
      <c r="A11" s="101">
        <v>7</v>
      </c>
      <c r="B11" s="108">
        <v>14800000</v>
      </c>
      <c r="C11" s="103" t="s">
        <v>183</v>
      </c>
      <c r="D11" s="110"/>
      <c r="E11" s="110">
        <f>50</f>
        <v>50</v>
      </c>
      <c r="F11" s="110"/>
      <c r="G11" s="110">
        <f t="shared" si="0"/>
        <v>50</v>
      </c>
      <c r="H11" s="103" t="s">
        <v>19</v>
      </c>
      <c r="I11" s="103" t="s">
        <v>223</v>
      </c>
      <c r="J11" s="111"/>
    </row>
    <row r="12" spans="1:10" x14ac:dyDescent="0.25">
      <c r="A12" s="101">
        <v>13</v>
      </c>
      <c r="B12" s="108">
        <v>15800000</v>
      </c>
      <c r="C12" s="109" t="s">
        <v>18</v>
      </c>
      <c r="D12" s="110">
        <f>3000</f>
        <v>3000</v>
      </c>
      <c r="E12" s="110">
        <f>500</f>
        <v>500</v>
      </c>
      <c r="F12" s="110"/>
      <c r="G12" s="110">
        <f t="shared" si="0"/>
        <v>3500</v>
      </c>
      <c r="H12" s="103" t="s">
        <v>19</v>
      </c>
      <c r="I12" s="103" t="s">
        <v>223</v>
      </c>
      <c r="J12" s="111" t="s">
        <v>20</v>
      </c>
    </row>
    <row r="13" spans="1:10" ht="31.5" x14ac:dyDescent="0.25">
      <c r="A13" s="101">
        <v>14</v>
      </c>
      <c r="B13" s="108">
        <v>15900000</v>
      </c>
      <c r="C13" s="112" t="s">
        <v>21</v>
      </c>
      <c r="D13" s="110">
        <f>3000</f>
        <v>3000</v>
      </c>
      <c r="E13" s="110">
        <f>500</f>
        <v>500</v>
      </c>
      <c r="F13" s="110"/>
      <c r="G13" s="110">
        <f t="shared" si="0"/>
        <v>3500</v>
      </c>
      <c r="H13" s="103" t="s">
        <v>19</v>
      </c>
      <c r="I13" s="103" t="s">
        <v>223</v>
      </c>
      <c r="J13" s="111" t="s">
        <v>20</v>
      </c>
    </row>
    <row r="14" spans="1:10" ht="31.5" x14ac:dyDescent="0.25">
      <c r="A14" s="101">
        <v>15</v>
      </c>
      <c r="B14" s="108">
        <v>15900000</v>
      </c>
      <c r="C14" s="112" t="s">
        <v>21</v>
      </c>
      <c r="D14" s="110">
        <f>3900</f>
        <v>3900</v>
      </c>
      <c r="E14" s="110">
        <f>3000</f>
        <v>3000</v>
      </c>
      <c r="F14" s="110"/>
      <c r="G14" s="110">
        <f t="shared" si="0"/>
        <v>6900</v>
      </c>
      <c r="H14" s="103" t="s">
        <v>29</v>
      </c>
      <c r="I14" s="103" t="s">
        <v>223</v>
      </c>
      <c r="J14" s="111"/>
    </row>
    <row r="15" spans="1:10" x14ac:dyDescent="0.25">
      <c r="A15" s="101">
        <v>17</v>
      </c>
      <c r="B15" s="108">
        <v>18300000</v>
      </c>
      <c r="C15" s="112" t="s">
        <v>22</v>
      </c>
      <c r="D15" s="110">
        <f>10000</f>
        <v>10000</v>
      </c>
      <c r="E15" s="110"/>
      <c r="F15" s="110"/>
      <c r="G15" s="110">
        <f t="shared" si="0"/>
        <v>10000</v>
      </c>
      <c r="H15" s="103" t="s">
        <v>19</v>
      </c>
      <c r="I15" s="103" t="s">
        <v>223</v>
      </c>
      <c r="J15" s="111"/>
    </row>
    <row r="16" spans="1:10" ht="31.5" x14ac:dyDescent="0.25">
      <c r="A16" s="101">
        <v>18</v>
      </c>
      <c r="B16" s="108">
        <v>18400000</v>
      </c>
      <c r="C16" s="112" t="s">
        <v>23</v>
      </c>
      <c r="D16" s="110"/>
      <c r="E16" s="110">
        <f>100</f>
        <v>100</v>
      </c>
      <c r="F16" s="110"/>
      <c r="G16" s="110">
        <f t="shared" si="0"/>
        <v>100</v>
      </c>
      <c r="H16" s="103" t="s">
        <v>19</v>
      </c>
      <c r="I16" s="103" t="s">
        <v>223</v>
      </c>
      <c r="J16" s="111"/>
    </row>
    <row r="17" spans="1:10" ht="31.5" x14ac:dyDescent="0.25">
      <c r="A17" s="101">
        <v>19</v>
      </c>
      <c r="B17" s="108">
        <v>18500000</v>
      </c>
      <c r="C17" s="103" t="s">
        <v>24</v>
      </c>
      <c r="D17" s="110">
        <f>3000</f>
        <v>3000</v>
      </c>
      <c r="E17" s="110">
        <f>1500</f>
        <v>1500</v>
      </c>
      <c r="F17" s="110"/>
      <c r="G17" s="110">
        <f t="shared" si="0"/>
        <v>4500</v>
      </c>
      <c r="H17" s="103" t="s">
        <v>19</v>
      </c>
      <c r="I17" s="103" t="s">
        <v>223</v>
      </c>
      <c r="J17" s="111" t="s">
        <v>20</v>
      </c>
    </row>
    <row r="18" spans="1:10" ht="31.5" x14ac:dyDescent="0.25">
      <c r="A18" s="101">
        <v>20</v>
      </c>
      <c r="B18" s="108">
        <v>18500000</v>
      </c>
      <c r="C18" s="103" t="s">
        <v>24</v>
      </c>
      <c r="D18" s="110">
        <f>4900</f>
        <v>4900</v>
      </c>
      <c r="E18" s="110"/>
      <c r="F18" s="110"/>
      <c r="G18" s="110">
        <f t="shared" si="0"/>
        <v>4900</v>
      </c>
      <c r="H18" s="103" t="s">
        <v>19</v>
      </c>
      <c r="I18" s="103" t="s">
        <v>223</v>
      </c>
      <c r="J18" s="111"/>
    </row>
    <row r="19" spans="1:10" ht="31.5" x14ac:dyDescent="0.25">
      <c r="A19" s="101">
        <v>21</v>
      </c>
      <c r="B19" s="108">
        <v>19600000</v>
      </c>
      <c r="C19" s="103" t="s">
        <v>25</v>
      </c>
      <c r="D19" s="110"/>
      <c r="E19" s="110">
        <f>300</f>
        <v>300</v>
      </c>
      <c r="F19" s="110"/>
      <c r="G19" s="110">
        <f t="shared" si="0"/>
        <v>300</v>
      </c>
      <c r="H19" s="103" t="s">
        <v>19</v>
      </c>
      <c r="I19" s="103" t="s">
        <v>223</v>
      </c>
      <c r="J19" s="111"/>
    </row>
    <row r="20" spans="1:10" ht="31.5" x14ac:dyDescent="0.25">
      <c r="A20" s="101">
        <v>22</v>
      </c>
      <c r="B20" s="113">
        <v>22100000</v>
      </c>
      <c r="C20" s="103" t="s">
        <v>26</v>
      </c>
      <c r="D20" s="114">
        <f>1500</f>
        <v>1500</v>
      </c>
      <c r="E20" s="110"/>
      <c r="F20" s="114">
        <f>2000</f>
        <v>2000</v>
      </c>
      <c r="G20" s="110">
        <f t="shared" si="0"/>
        <v>3500</v>
      </c>
      <c r="H20" s="103" t="s">
        <v>19</v>
      </c>
      <c r="I20" s="103" t="s">
        <v>223</v>
      </c>
      <c r="J20" s="111"/>
    </row>
    <row r="21" spans="1:10" ht="63" x14ac:dyDescent="0.25">
      <c r="A21" s="101">
        <v>23</v>
      </c>
      <c r="B21" s="113">
        <v>22400000</v>
      </c>
      <c r="C21" s="103" t="s">
        <v>27</v>
      </c>
      <c r="D21" s="114">
        <f>2000</f>
        <v>2000</v>
      </c>
      <c r="E21" s="110">
        <f>500</f>
        <v>500</v>
      </c>
      <c r="F21" s="114"/>
      <c r="G21" s="110">
        <f t="shared" si="0"/>
        <v>2500</v>
      </c>
      <c r="H21" s="103" t="s">
        <v>19</v>
      </c>
      <c r="I21" s="103" t="s">
        <v>223</v>
      </c>
      <c r="J21" s="111"/>
    </row>
    <row r="22" spans="1:10" ht="63" x14ac:dyDescent="0.25">
      <c r="A22" s="101">
        <v>25</v>
      </c>
      <c r="B22" s="113">
        <v>22800000</v>
      </c>
      <c r="C22" s="103" t="s">
        <v>28</v>
      </c>
      <c r="D22" s="114">
        <f>3500</f>
        <v>3500</v>
      </c>
      <c r="E22" s="110">
        <f>1000</f>
        <v>1000</v>
      </c>
      <c r="F22" s="114"/>
      <c r="G22" s="110">
        <f t="shared" si="0"/>
        <v>4500</v>
      </c>
      <c r="H22" s="103" t="s">
        <v>19</v>
      </c>
      <c r="I22" s="103" t="s">
        <v>223</v>
      </c>
      <c r="J22" s="111"/>
    </row>
    <row r="23" spans="1:10" x14ac:dyDescent="0.25">
      <c r="A23" s="101">
        <v>27</v>
      </c>
      <c r="B23" s="113">
        <v>24400000</v>
      </c>
      <c r="C23" s="103" t="s">
        <v>222</v>
      </c>
      <c r="D23" s="114">
        <f>100000</f>
        <v>100000</v>
      </c>
      <c r="E23" s="110"/>
      <c r="F23" s="114"/>
      <c r="G23" s="110">
        <f t="shared" si="0"/>
        <v>100000</v>
      </c>
      <c r="H23" s="103" t="s">
        <v>19</v>
      </c>
      <c r="I23" s="103" t="s">
        <v>223</v>
      </c>
      <c r="J23" s="111"/>
    </row>
    <row r="24" spans="1:10" ht="94.5" x14ac:dyDescent="0.25">
      <c r="A24" s="101">
        <v>29</v>
      </c>
      <c r="B24" s="113">
        <v>30100000</v>
      </c>
      <c r="C24" s="103" t="s">
        <v>190</v>
      </c>
      <c r="D24" s="114">
        <f>3000+6300</f>
        <v>9300</v>
      </c>
      <c r="E24" s="110">
        <f>1500+2000</f>
        <v>3500</v>
      </c>
      <c r="F24" s="114"/>
      <c r="G24" s="110">
        <f t="shared" si="0"/>
        <v>12800</v>
      </c>
      <c r="H24" s="103" t="s">
        <v>19</v>
      </c>
      <c r="I24" s="103" t="s">
        <v>223</v>
      </c>
      <c r="J24" s="111"/>
    </row>
    <row r="25" spans="1:10" ht="94.5" x14ac:dyDescent="0.25">
      <c r="A25" s="101">
        <v>30</v>
      </c>
      <c r="B25" s="113">
        <v>30100000</v>
      </c>
      <c r="C25" s="103" t="s">
        <v>30</v>
      </c>
      <c r="D25" s="114">
        <f>5000</f>
        <v>5000</v>
      </c>
      <c r="E25" s="110">
        <f>3000</f>
        <v>3000</v>
      </c>
      <c r="F25" s="114"/>
      <c r="G25" s="110">
        <f t="shared" si="0"/>
        <v>8000</v>
      </c>
      <c r="H25" s="103" t="s">
        <v>17</v>
      </c>
      <c r="I25" s="103" t="s">
        <v>223</v>
      </c>
      <c r="J25" s="111"/>
    </row>
    <row r="26" spans="1:10" ht="47.25" x14ac:dyDescent="0.25">
      <c r="A26" s="101">
        <v>31</v>
      </c>
      <c r="B26" s="113">
        <v>30200000</v>
      </c>
      <c r="C26" s="103" t="s">
        <v>31</v>
      </c>
      <c r="D26" s="114">
        <f>30000+30000</f>
        <v>60000</v>
      </c>
      <c r="E26" s="110">
        <f>8000</f>
        <v>8000</v>
      </c>
      <c r="F26" s="110"/>
      <c r="G26" s="110">
        <f t="shared" si="0"/>
        <v>68000</v>
      </c>
      <c r="H26" s="103" t="s">
        <v>17</v>
      </c>
      <c r="I26" s="103" t="s">
        <v>223</v>
      </c>
      <c r="J26" s="111"/>
    </row>
    <row r="27" spans="1:10" ht="31.5" x14ac:dyDescent="0.25">
      <c r="A27" s="101">
        <v>32</v>
      </c>
      <c r="B27" s="113">
        <v>30200000</v>
      </c>
      <c r="C27" s="103" t="s">
        <v>32</v>
      </c>
      <c r="D27" s="114">
        <f>3000</f>
        <v>3000</v>
      </c>
      <c r="E27" s="114">
        <f>2000+1600</f>
        <v>3600</v>
      </c>
      <c r="F27" s="110">
        <f>1300</f>
        <v>1300</v>
      </c>
      <c r="G27" s="110">
        <f t="shared" si="0"/>
        <v>7900</v>
      </c>
      <c r="H27" s="103" t="s">
        <v>29</v>
      </c>
      <c r="I27" s="103" t="s">
        <v>223</v>
      </c>
      <c r="J27" s="111"/>
    </row>
    <row r="28" spans="1:10" ht="31.5" x14ac:dyDescent="0.25">
      <c r="A28" s="101">
        <v>33</v>
      </c>
      <c r="B28" s="113">
        <v>31200000</v>
      </c>
      <c r="C28" s="115" t="s">
        <v>33</v>
      </c>
      <c r="D28" s="114">
        <f>300</f>
        <v>300</v>
      </c>
      <c r="E28" s="114">
        <v>300</v>
      </c>
      <c r="F28" s="110"/>
      <c r="G28" s="110">
        <f t="shared" si="0"/>
        <v>600</v>
      </c>
      <c r="H28" s="103" t="s">
        <v>19</v>
      </c>
      <c r="I28" s="103" t="s">
        <v>223</v>
      </c>
      <c r="J28" s="111"/>
    </row>
    <row r="29" spans="1:10" x14ac:dyDescent="0.25">
      <c r="A29" s="101">
        <v>34</v>
      </c>
      <c r="B29" s="113">
        <v>31300000</v>
      </c>
      <c r="C29" s="103" t="s">
        <v>34</v>
      </c>
      <c r="D29" s="114">
        <f>300</f>
        <v>300</v>
      </c>
      <c r="E29" s="114">
        <f>300</f>
        <v>300</v>
      </c>
      <c r="F29" s="110"/>
      <c r="G29" s="110">
        <f t="shared" si="0"/>
        <v>600</v>
      </c>
      <c r="H29" s="103" t="s">
        <v>19</v>
      </c>
      <c r="I29" s="103" t="s">
        <v>223</v>
      </c>
      <c r="J29" s="111"/>
    </row>
    <row r="30" spans="1:10" ht="31.5" x14ac:dyDescent="0.25">
      <c r="A30" s="101">
        <v>35</v>
      </c>
      <c r="B30" s="113">
        <v>31400000</v>
      </c>
      <c r="C30" s="103" t="s">
        <v>35</v>
      </c>
      <c r="D30" s="116">
        <f>100</f>
        <v>100</v>
      </c>
      <c r="E30" s="114">
        <f>100</f>
        <v>100</v>
      </c>
      <c r="F30" s="110"/>
      <c r="G30" s="110">
        <f t="shared" si="0"/>
        <v>200</v>
      </c>
      <c r="H30" s="103" t="s">
        <v>19</v>
      </c>
      <c r="I30" s="103" t="s">
        <v>223</v>
      </c>
      <c r="J30" s="111"/>
    </row>
    <row r="31" spans="1:10" ht="31.5" x14ac:dyDescent="0.25">
      <c r="A31" s="101">
        <v>37</v>
      </c>
      <c r="B31" s="113">
        <v>31500000</v>
      </c>
      <c r="C31" s="115" t="s">
        <v>36</v>
      </c>
      <c r="D31" s="114">
        <f>300+100000</f>
        <v>100300</v>
      </c>
      <c r="E31" s="114">
        <f>250</f>
        <v>250</v>
      </c>
      <c r="F31" s="110"/>
      <c r="G31" s="110">
        <f t="shared" si="0"/>
        <v>100550</v>
      </c>
      <c r="H31" s="103" t="s">
        <v>29</v>
      </c>
      <c r="I31" s="103" t="s">
        <v>223</v>
      </c>
      <c r="J31" s="111"/>
    </row>
    <row r="32" spans="1:10" x14ac:dyDescent="0.25">
      <c r="A32" s="101">
        <v>39</v>
      </c>
      <c r="B32" s="113">
        <v>32400000</v>
      </c>
      <c r="C32" s="115" t="s">
        <v>115</v>
      </c>
      <c r="D32" s="114">
        <f>100</f>
        <v>100</v>
      </c>
      <c r="E32" s="110"/>
      <c r="F32" s="110"/>
      <c r="G32" s="110">
        <f t="shared" si="0"/>
        <v>100</v>
      </c>
      <c r="H32" s="103" t="s">
        <v>19</v>
      </c>
      <c r="I32" s="103" t="s">
        <v>223</v>
      </c>
      <c r="J32" s="111"/>
    </row>
    <row r="33" spans="1:10" x14ac:dyDescent="0.25">
      <c r="A33" s="101">
        <v>40</v>
      </c>
      <c r="B33" s="113">
        <v>33100000</v>
      </c>
      <c r="C33" s="115" t="s">
        <v>186</v>
      </c>
      <c r="D33" s="114">
        <f>175</f>
        <v>175</v>
      </c>
      <c r="E33" s="110"/>
      <c r="F33" s="110"/>
      <c r="G33" s="110">
        <f t="shared" si="0"/>
        <v>175</v>
      </c>
      <c r="H33" s="103" t="s">
        <v>19</v>
      </c>
      <c r="I33" s="103" t="s">
        <v>223</v>
      </c>
      <c r="J33" s="111"/>
    </row>
    <row r="34" spans="1:10" x14ac:dyDescent="0.25">
      <c r="A34" s="101">
        <v>41</v>
      </c>
      <c r="B34" s="113">
        <v>33600000</v>
      </c>
      <c r="C34" s="115" t="s">
        <v>187</v>
      </c>
      <c r="D34" s="114">
        <f>45</f>
        <v>45</v>
      </c>
      <c r="E34" s="110"/>
      <c r="F34" s="110"/>
      <c r="G34" s="110">
        <f t="shared" si="0"/>
        <v>45</v>
      </c>
      <c r="H34" s="103" t="s">
        <v>19</v>
      </c>
      <c r="I34" s="103" t="s">
        <v>223</v>
      </c>
      <c r="J34" s="111"/>
    </row>
    <row r="35" spans="1:10" x14ac:dyDescent="0.25">
      <c r="A35" s="101">
        <v>43</v>
      </c>
      <c r="B35" s="113">
        <v>33700000</v>
      </c>
      <c r="C35" s="115" t="s">
        <v>37</v>
      </c>
      <c r="D35" s="114"/>
      <c r="E35" s="110">
        <f>800</f>
        <v>800</v>
      </c>
      <c r="F35" s="110"/>
      <c r="G35" s="110">
        <f t="shared" si="0"/>
        <v>800</v>
      </c>
      <c r="H35" s="103" t="s">
        <v>19</v>
      </c>
      <c r="I35" s="103" t="s">
        <v>223</v>
      </c>
      <c r="J35" s="111"/>
    </row>
    <row r="36" spans="1:10" ht="31.5" x14ac:dyDescent="0.25">
      <c r="A36" s="101">
        <v>44</v>
      </c>
      <c r="B36" s="113">
        <v>34100000</v>
      </c>
      <c r="C36" s="115" t="s">
        <v>105</v>
      </c>
      <c r="D36" s="114">
        <f>50000</f>
        <v>50000</v>
      </c>
      <c r="E36" s="110"/>
      <c r="F36" s="110"/>
      <c r="G36" s="110">
        <f t="shared" si="0"/>
        <v>50000</v>
      </c>
      <c r="H36" s="103" t="s">
        <v>17</v>
      </c>
      <c r="I36" s="103" t="s">
        <v>223</v>
      </c>
      <c r="J36" s="111"/>
    </row>
    <row r="37" spans="1:10" ht="47.25" x14ac:dyDescent="0.25">
      <c r="A37" s="101">
        <v>45</v>
      </c>
      <c r="B37" s="113">
        <v>34300000</v>
      </c>
      <c r="C37" s="103" t="s">
        <v>38</v>
      </c>
      <c r="D37" s="114">
        <f>3000</f>
        <v>3000</v>
      </c>
      <c r="E37" s="114">
        <f>1000</f>
        <v>1000</v>
      </c>
      <c r="F37" s="114"/>
      <c r="G37" s="110">
        <f t="shared" si="0"/>
        <v>4000</v>
      </c>
      <c r="H37" s="103" t="s">
        <v>17</v>
      </c>
      <c r="I37" s="103" t="s">
        <v>223</v>
      </c>
      <c r="J37" s="111"/>
    </row>
    <row r="38" spans="1:10" ht="47.25" x14ac:dyDescent="0.25">
      <c r="A38" s="101">
        <v>47</v>
      </c>
      <c r="B38" s="113">
        <v>34900000</v>
      </c>
      <c r="C38" s="103" t="s">
        <v>117</v>
      </c>
      <c r="D38" s="114">
        <f>60000</f>
        <v>60000</v>
      </c>
      <c r="E38" s="114"/>
      <c r="F38" s="114"/>
      <c r="G38" s="110">
        <f t="shared" si="0"/>
        <v>60000</v>
      </c>
      <c r="H38" s="103" t="s">
        <v>29</v>
      </c>
      <c r="I38" s="103" t="s">
        <v>223</v>
      </c>
      <c r="J38" s="111"/>
    </row>
    <row r="39" spans="1:10" ht="47.25" x14ac:dyDescent="0.25">
      <c r="A39" s="101">
        <v>48</v>
      </c>
      <c r="B39" s="113">
        <v>35100000</v>
      </c>
      <c r="C39" s="103" t="s">
        <v>221</v>
      </c>
      <c r="D39" s="114">
        <f>113000</f>
        <v>113000</v>
      </c>
      <c r="E39" s="114"/>
      <c r="F39" s="114"/>
      <c r="G39" s="110">
        <f t="shared" si="0"/>
        <v>113000</v>
      </c>
      <c r="H39" s="103" t="s">
        <v>19</v>
      </c>
      <c r="I39" s="103" t="s">
        <v>223</v>
      </c>
      <c r="J39" s="111"/>
    </row>
    <row r="40" spans="1:10" ht="31.5" x14ac:dyDescent="0.25">
      <c r="A40" s="101">
        <v>49</v>
      </c>
      <c r="B40" s="151">
        <v>35800000</v>
      </c>
      <c r="C40" s="152" t="s">
        <v>188</v>
      </c>
      <c r="D40" s="114">
        <f>9000</f>
        <v>9000</v>
      </c>
      <c r="E40" s="114"/>
      <c r="F40" s="114"/>
      <c r="G40" s="110">
        <f t="shared" si="0"/>
        <v>9000</v>
      </c>
      <c r="H40" s="103" t="s">
        <v>29</v>
      </c>
      <c r="I40" s="103" t="s">
        <v>223</v>
      </c>
      <c r="J40" s="111"/>
    </row>
    <row r="41" spans="1:10" ht="31.5" x14ac:dyDescent="0.25">
      <c r="A41" s="101">
        <v>50</v>
      </c>
      <c r="B41" s="113">
        <v>37400000</v>
      </c>
      <c r="C41" s="103" t="s">
        <v>247</v>
      </c>
      <c r="D41" s="114">
        <f>150000</f>
        <v>150000</v>
      </c>
      <c r="E41" s="114"/>
      <c r="F41" s="114"/>
      <c r="G41" s="110">
        <f t="shared" si="0"/>
        <v>150000</v>
      </c>
      <c r="H41" s="103" t="s">
        <v>29</v>
      </c>
      <c r="I41" s="103" t="s">
        <v>223</v>
      </c>
      <c r="J41" s="111"/>
    </row>
    <row r="42" spans="1:10" x14ac:dyDescent="0.25">
      <c r="A42" s="101">
        <v>51</v>
      </c>
      <c r="B42" s="113">
        <v>39100000</v>
      </c>
      <c r="C42" s="109" t="s">
        <v>39</v>
      </c>
      <c r="D42" s="114">
        <f>13000</f>
        <v>13000</v>
      </c>
      <c r="E42" s="110">
        <f>10000</f>
        <v>10000</v>
      </c>
      <c r="F42" s="110"/>
      <c r="G42" s="110">
        <f t="shared" si="0"/>
        <v>23000</v>
      </c>
      <c r="H42" s="103" t="s">
        <v>29</v>
      </c>
      <c r="I42" s="103" t="s">
        <v>223</v>
      </c>
      <c r="J42" s="111"/>
    </row>
    <row r="43" spans="1:10" x14ac:dyDescent="0.25">
      <c r="A43" s="101">
        <v>52</v>
      </c>
      <c r="B43" s="113">
        <v>39200000</v>
      </c>
      <c r="C43" s="109" t="s">
        <v>40</v>
      </c>
      <c r="D43" s="114"/>
      <c r="E43" s="110">
        <f>300</f>
        <v>300</v>
      </c>
      <c r="F43" s="110"/>
      <c r="G43" s="110">
        <f t="shared" si="0"/>
        <v>300</v>
      </c>
      <c r="H43" s="103" t="s">
        <v>19</v>
      </c>
      <c r="I43" s="103" t="s">
        <v>223</v>
      </c>
      <c r="J43" s="111"/>
    </row>
    <row r="44" spans="1:10" x14ac:dyDescent="0.25">
      <c r="A44" s="101">
        <v>53</v>
      </c>
      <c r="B44" s="113">
        <v>39500000</v>
      </c>
      <c r="C44" s="109" t="s">
        <v>41</v>
      </c>
      <c r="D44" s="114">
        <f>500</f>
        <v>500</v>
      </c>
      <c r="E44" s="110">
        <f>300</f>
        <v>300</v>
      </c>
      <c r="F44" s="110"/>
      <c r="G44" s="110">
        <f t="shared" si="0"/>
        <v>800</v>
      </c>
      <c r="H44" s="103" t="s">
        <v>19</v>
      </c>
      <c r="I44" s="103" t="s">
        <v>223</v>
      </c>
      <c r="J44" s="111"/>
    </row>
    <row r="45" spans="1:10" x14ac:dyDescent="0.25">
      <c r="A45" s="101">
        <v>54</v>
      </c>
      <c r="B45" s="113">
        <v>39700000</v>
      </c>
      <c r="C45" s="109" t="s">
        <v>185</v>
      </c>
      <c r="D45" s="114"/>
      <c r="E45" s="110">
        <f>400</f>
        <v>400</v>
      </c>
      <c r="F45" s="110"/>
      <c r="G45" s="110">
        <f t="shared" si="0"/>
        <v>400</v>
      </c>
      <c r="H45" s="103" t="s">
        <v>19</v>
      </c>
      <c r="I45" s="103" t="s">
        <v>223</v>
      </c>
      <c r="J45" s="111"/>
    </row>
    <row r="46" spans="1:10" x14ac:dyDescent="0.25">
      <c r="A46" s="101">
        <v>55</v>
      </c>
      <c r="B46" s="113">
        <v>39800000</v>
      </c>
      <c r="C46" s="109" t="s">
        <v>220</v>
      </c>
      <c r="D46" s="114"/>
      <c r="E46" s="110">
        <f>300</f>
        <v>300</v>
      </c>
      <c r="F46" s="110"/>
      <c r="G46" s="110">
        <f t="shared" si="0"/>
        <v>300</v>
      </c>
      <c r="H46" s="103" t="s">
        <v>19</v>
      </c>
      <c r="I46" s="103" t="s">
        <v>223</v>
      </c>
      <c r="J46" s="111"/>
    </row>
    <row r="47" spans="1:10" ht="31.5" x14ac:dyDescent="0.25">
      <c r="A47" s="101">
        <v>56</v>
      </c>
      <c r="B47" s="108">
        <v>42500000</v>
      </c>
      <c r="C47" s="103" t="s">
        <v>42</v>
      </c>
      <c r="D47" s="110"/>
      <c r="E47" s="110">
        <f>1500+3000</f>
        <v>4500</v>
      </c>
      <c r="F47" s="110"/>
      <c r="G47" s="110">
        <f t="shared" si="0"/>
        <v>4500</v>
      </c>
      <c r="H47" s="103" t="s">
        <v>19</v>
      </c>
      <c r="I47" s="103" t="s">
        <v>223</v>
      </c>
      <c r="J47" s="111"/>
    </row>
    <row r="48" spans="1:10" ht="31.5" x14ac:dyDescent="0.25">
      <c r="A48" s="101">
        <v>58</v>
      </c>
      <c r="B48" s="108">
        <v>44100000</v>
      </c>
      <c r="C48" s="112" t="s">
        <v>43</v>
      </c>
      <c r="D48" s="110">
        <f>400</f>
        <v>400</v>
      </c>
      <c r="E48" s="110">
        <f>500</f>
        <v>500</v>
      </c>
      <c r="F48" s="110"/>
      <c r="G48" s="110">
        <f t="shared" si="0"/>
        <v>900</v>
      </c>
      <c r="H48" s="103" t="s">
        <v>19</v>
      </c>
      <c r="I48" s="103" t="s">
        <v>223</v>
      </c>
      <c r="J48" s="111"/>
    </row>
    <row r="49" spans="1:10" ht="47.25" x14ac:dyDescent="0.25">
      <c r="A49" s="101">
        <v>61</v>
      </c>
      <c r="B49" s="113">
        <v>44400000</v>
      </c>
      <c r="C49" s="103" t="s">
        <v>44</v>
      </c>
      <c r="D49" s="114">
        <f>500</f>
        <v>500</v>
      </c>
      <c r="E49" s="110">
        <f>500</f>
        <v>500</v>
      </c>
      <c r="F49" s="110"/>
      <c r="G49" s="110">
        <f t="shared" si="0"/>
        <v>1000</v>
      </c>
      <c r="H49" s="103" t="s">
        <v>19</v>
      </c>
      <c r="I49" s="103" t="s">
        <v>223</v>
      </c>
      <c r="J49" s="111"/>
    </row>
    <row r="50" spans="1:10" ht="63" x14ac:dyDescent="0.25">
      <c r="A50" s="101"/>
      <c r="B50" s="113">
        <v>44600000</v>
      </c>
      <c r="C50" s="103" t="s">
        <v>248</v>
      </c>
      <c r="D50" s="114">
        <f>150000</f>
        <v>150000</v>
      </c>
      <c r="E50" s="110"/>
      <c r="F50" s="110"/>
      <c r="G50" s="110">
        <f t="shared" si="0"/>
        <v>150000</v>
      </c>
      <c r="H50" s="103" t="s">
        <v>29</v>
      </c>
      <c r="I50" s="103" t="s">
        <v>223</v>
      </c>
      <c r="J50" s="111"/>
    </row>
    <row r="51" spans="1:10" x14ac:dyDescent="0.25">
      <c r="A51" s="101">
        <v>63</v>
      </c>
      <c r="B51" s="113">
        <v>44800000</v>
      </c>
      <c r="C51" s="103" t="s">
        <v>189</v>
      </c>
      <c r="D51" s="114">
        <f>302800</f>
        <v>302800</v>
      </c>
      <c r="E51" s="110"/>
      <c r="F51" s="110"/>
      <c r="G51" s="110">
        <f t="shared" si="0"/>
        <v>302800</v>
      </c>
      <c r="H51" s="103" t="s">
        <v>19</v>
      </c>
      <c r="I51" s="103" t="s">
        <v>223</v>
      </c>
      <c r="J51" s="111"/>
    </row>
    <row r="52" spans="1:10" ht="31.5" x14ac:dyDescent="0.25">
      <c r="A52" s="101">
        <v>64</v>
      </c>
      <c r="B52" s="113">
        <v>45100000</v>
      </c>
      <c r="C52" s="103" t="s">
        <v>45</v>
      </c>
      <c r="D52" s="114">
        <f>620000+1700000</f>
        <v>2320000</v>
      </c>
      <c r="E52" s="110"/>
      <c r="F52" s="110"/>
      <c r="G52" s="110">
        <f t="shared" si="0"/>
        <v>2320000</v>
      </c>
      <c r="H52" s="103" t="s">
        <v>29</v>
      </c>
      <c r="I52" s="103" t="s">
        <v>223</v>
      </c>
      <c r="J52" s="111"/>
    </row>
    <row r="53" spans="1:10" ht="47.25" x14ac:dyDescent="0.25">
      <c r="A53" s="101">
        <v>65</v>
      </c>
      <c r="B53" s="113">
        <v>45200000</v>
      </c>
      <c r="C53" s="103" t="s">
        <v>46</v>
      </c>
      <c r="D53" s="114">
        <f>300000+3112300+1542200+65000+300000+300000+200000</f>
        <v>5819500</v>
      </c>
      <c r="E53" s="110"/>
      <c r="F53" s="110"/>
      <c r="G53" s="110">
        <f t="shared" si="0"/>
        <v>5819500</v>
      </c>
      <c r="H53" s="103" t="s">
        <v>29</v>
      </c>
      <c r="I53" s="103" t="s">
        <v>223</v>
      </c>
      <c r="J53" s="111"/>
    </row>
    <row r="54" spans="1:10" x14ac:dyDescent="0.25">
      <c r="A54" s="101">
        <v>67</v>
      </c>
      <c r="B54" s="113">
        <v>45300000</v>
      </c>
      <c r="C54" s="117" t="s">
        <v>47</v>
      </c>
      <c r="D54" s="114">
        <f>400000</f>
        <v>400000</v>
      </c>
      <c r="E54" s="110"/>
      <c r="F54" s="110"/>
      <c r="G54" s="110">
        <f t="shared" si="0"/>
        <v>400000</v>
      </c>
      <c r="H54" s="103" t="s">
        <v>29</v>
      </c>
      <c r="I54" s="103" t="s">
        <v>223</v>
      </c>
      <c r="J54" s="111"/>
    </row>
    <row r="55" spans="1:10" x14ac:dyDescent="0.25">
      <c r="A55" s="101">
        <v>68</v>
      </c>
      <c r="B55" s="113">
        <v>45400000</v>
      </c>
      <c r="C55" s="117" t="s">
        <v>48</v>
      </c>
      <c r="D55" s="114">
        <f>230000+310000</f>
        <v>540000</v>
      </c>
      <c r="E55" s="110"/>
      <c r="F55" s="110"/>
      <c r="G55" s="110">
        <f t="shared" si="0"/>
        <v>540000</v>
      </c>
      <c r="H55" s="103" t="s">
        <v>29</v>
      </c>
      <c r="I55" s="103" t="s">
        <v>223</v>
      </c>
      <c r="J55" s="111"/>
    </row>
    <row r="56" spans="1:10" ht="63" x14ac:dyDescent="0.25">
      <c r="A56" s="101">
        <v>70</v>
      </c>
      <c r="B56" s="113">
        <v>50100000</v>
      </c>
      <c r="C56" s="103" t="s">
        <v>49</v>
      </c>
      <c r="D56" s="114">
        <f>15000+12000</f>
        <v>27000</v>
      </c>
      <c r="E56" s="114">
        <f>3000</f>
        <v>3000</v>
      </c>
      <c r="F56" s="114"/>
      <c r="G56" s="110">
        <f t="shared" si="0"/>
        <v>30000</v>
      </c>
      <c r="H56" s="103" t="s">
        <v>29</v>
      </c>
      <c r="I56" s="103" t="s">
        <v>223</v>
      </c>
      <c r="J56" s="111" t="s">
        <v>50</v>
      </c>
    </row>
    <row r="57" spans="1:10" ht="94.5" x14ac:dyDescent="0.25">
      <c r="A57" s="101">
        <v>71</v>
      </c>
      <c r="B57" s="113">
        <v>50300000</v>
      </c>
      <c r="C57" s="103" t="s">
        <v>51</v>
      </c>
      <c r="D57" s="114">
        <f>6700</f>
        <v>6700</v>
      </c>
      <c r="E57" s="114">
        <f>1000</f>
        <v>1000</v>
      </c>
      <c r="F57" s="114">
        <f>300</f>
        <v>300</v>
      </c>
      <c r="G57" s="110">
        <f t="shared" si="0"/>
        <v>8000</v>
      </c>
      <c r="H57" s="103" t="s">
        <v>29</v>
      </c>
      <c r="I57" s="103" t="s">
        <v>223</v>
      </c>
      <c r="J57" s="111"/>
    </row>
    <row r="58" spans="1:10" ht="31.5" x14ac:dyDescent="0.25">
      <c r="A58" s="101">
        <v>72</v>
      </c>
      <c r="B58" s="113">
        <v>50700000</v>
      </c>
      <c r="C58" s="103" t="s">
        <v>52</v>
      </c>
      <c r="D58" s="114">
        <f>50000</f>
        <v>50000</v>
      </c>
      <c r="E58" s="110">
        <f>3000</f>
        <v>3000</v>
      </c>
      <c r="F58" s="110"/>
      <c r="G58" s="110">
        <f t="shared" si="0"/>
        <v>53000</v>
      </c>
      <c r="H58" s="103" t="s">
        <v>29</v>
      </c>
      <c r="I58" s="103" t="s">
        <v>223</v>
      </c>
      <c r="J58" s="111" t="s">
        <v>50</v>
      </c>
    </row>
    <row r="59" spans="1:10" x14ac:dyDescent="0.25">
      <c r="A59" s="101">
        <v>73</v>
      </c>
      <c r="B59" s="113">
        <v>55100000</v>
      </c>
      <c r="C59" s="109" t="s">
        <v>53</v>
      </c>
      <c r="D59" s="114">
        <f>10000</f>
        <v>10000</v>
      </c>
      <c r="E59" s="110">
        <f>1500</f>
        <v>1500</v>
      </c>
      <c r="F59" s="110"/>
      <c r="G59" s="110">
        <f t="shared" si="0"/>
        <v>11500</v>
      </c>
      <c r="H59" s="103" t="s">
        <v>19</v>
      </c>
      <c r="I59" s="103" t="s">
        <v>223</v>
      </c>
      <c r="J59" s="111" t="s">
        <v>20</v>
      </c>
    </row>
    <row r="60" spans="1:10" ht="31.5" x14ac:dyDescent="0.25">
      <c r="A60" s="101">
        <v>74</v>
      </c>
      <c r="B60" s="113">
        <v>55300000</v>
      </c>
      <c r="C60" s="103" t="s">
        <v>54</v>
      </c>
      <c r="D60" s="114">
        <f>11000</f>
        <v>11000</v>
      </c>
      <c r="E60" s="110">
        <f>2000</f>
        <v>2000</v>
      </c>
      <c r="F60" s="110"/>
      <c r="G60" s="110">
        <f t="shared" si="0"/>
        <v>13000</v>
      </c>
      <c r="H60" s="103" t="s">
        <v>19</v>
      </c>
      <c r="I60" s="103" t="s">
        <v>223</v>
      </c>
      <c r="J60" s="111" t="s">
        <v>20</v>
      </c>
    </row>
    <row r="61" spans="1:10" ht="31.5" x14ac:dyDescent="0.25">
      <c r="A61" s="101">
        <v>75</v>
      </c>
      <c r="B61" s="113">
        <v>60100000</v>
      </c>
      <c r="C61" s="103" t="s">
        <v>55</v>
      </c>
      <c r="D61" s="114"/>
      <c r="E61" s="110"/>
      <c r="F61" s="110">
        <f>3000</f>
        <v>3000</v>
      </c>
      <c r="G61" s="110">
        <f t="shared" si="0"/>
        <v>3000</v>
      </c>
      <c r="H61" s="103" t="s">
        <v>19</v>
      </c>
      <c r="I61" s="103" t="s">
        <v>223</v>
      </c>
      <c r="J61" s="111"/>
    </row>
    <row r="62" spans="1:10" ht="47.25" x14ac:dyDescent="0.25">
      <c r="A62" s="101">
        <v>77</v>
      </c>
      <c r="B62" s="113">
        <v>63700000</v>
      </c>
      <c r="C62" s="103" t="s">
        <v>219</v>
      </c>
      <c r="D62" s="114">
        <f>20000</f>
        <v>20000</v>
      </c>
      <c r="E62" s="110"/>
      <c r="F62" s="110"/>
      <c r="G62" s="110">
        <f t="shared" si="0"/>
        <v>20000</v>
      </c>
      <c r="H62" s="103" t="s">
        <v>29</v>
      </c>
      <c r="I62" s="103" t="s">
        <v>223</v>
      </c>
      <c r="J62" s="111"/>
    </row>
    <row r="63" spans="1:10" ht="31.5" x14ac:dyDescent="0.25">
      <c r="A63" s="101">
        <v>78</v>
      </c>
      <c r="B63" s="113">
        <v>64100000</v>
      </c>
      <c r="C63" s="103" t="s">
        <v>224</v>
      </c>
      <c r="D63" s="114">
        <f>20000</f>
        <v>20000</v>
      </c>
      <c r="E63" s="110"/>
      <c r="F63" s="110"/>
      <c r="G63" s="110">
        <f t="shared" si="0"/>
        <v>20000</v>
      </c>
      <c r="H63" s="103" t="s">
        <v>19</v>
      </c>
      <c r="I63" s="103" t="s">
        <v>223</v>
      </c>
      <c r="J63" s="111" t="s">
        <v>69</v>
      </c>
    </row>
    <row r="64" spans="1:10" ht="31.5" x14ac:dyDescent="0.25">
      <c r="A64" s="101">
        <v>79</v>
      </c>
      <c r="B64" s="18">
        <v>64200000</v>
      </c>
      <c r="C64" s="103" t="s">
        <v>56</v>
      </c>
      <c r="D64" s="114">
        <f>600</f>
        <v>600</v>
      </c>
      <c r="E64" s="114">
        <f>300</f>
        <v>300</v>
      </c>
      <c r="F64" s="114"/>
      <c r="G64" s="110">
        <f t="shared" si="0"/>
        <v>900</v>
      </c>
      <c r="H64" s="103" t="s">
        <v>19</v>
      </c>
      <c r="I64" s="103" t="s">
        <v>223</v>
      </c>
      <c r="J64" s="111" t="s">
        <v>57</v>
      </c>
    </row>
    <row r="65" spans="1:10" ht="31.5" x14ac:dyDescent="0.25">
      <c r="A65" s="101">
        <v>80</v>
      </c>
      <c r="B65" s="19">
        <v>64200000</v>
      </c>
      <c r="C65" s="103" t="s">
        <v>58</v>
      </c>
      <c r="D65" s="114">
        <f>500</f>
        <v>500</v>
      </c>
      <c r="E65" s="114">
        <f>500</f>
        <v>500</v>
      </c>
      <c r="F65" s="114">
        <f>500</f>
        <v>500</v>
      </c>
      <c r="G65" s="110">
        <f t="shared" si="0"/>
        <v>1500</v>
      </c>
      <c r="H65" s="103" t="s">
        <v>29</v>
      </c>
      <c r="I65" s="103" t="s">
        <v>223</v>
      </c>
      <c r="J65" s="111"/>
    </row>
    <row r="66" spans="1:10" ht="31.5" x14ac:dyDescent="0.25">
      <c r="A66" s="101">
        <v>81</v>
      </c>
      <c r="B66" s="20">
        <v>64200000</v>
      </c>
      <c r="C66" s="103" t="s">
        <v>59</v>
      </c>
      <c r="D66" s="114">
        <f>3000</f>
        <v>3000</v>
      </c>
      <c r="E66" s="114"/>
      <c r="F66" s="114"/>
      <c r="G66" s="110">
        <f t="shared" si="0"/>
        <v>3000</v>
      </c>
      <c r="H66" s="103" t="s">
        <v>19</v>
      </c>
      <c r="I66" s="103" t="s">
        <v>223</v>
      </c>
      <c r="J66" s="111"/>
    </row>
    <row r="67" spans="1:10" ht="31.5" x14ac:dyDescent="0.25">
      <c r="A67" s="101">
        <v>82</v>
      </c>
      <c r="B67" s="21">
        <v>64200000</v>
      </c>
      <c r="C67" s="103" t="s">
        <v>60</v>
      </c>
      <c r="D67" s="114">
        <f>48200</f>
        <v>48200</v>
      </c>
      <c r="E67" s="114">
        <f>9000</f>
        <v>9000</v>
      </c>
      <c r="F67" s="114">
        <f>1500</f>
        <v>1500</v>
      </c>
      <c r="G67" s="110">
        <f t="shared" si="0"/>
        <v>58700</v>
      </c>
      <c r="H67" s="103" t="s">
        <v>17</v>
      </c>
      <c r="I67" s="103" t="s">
        <v>223</v>
      </c>
      <c r="J67" s="111"/>
    </row>
    <row r="68" spans="1:10" ht="31.5" x14ac:dyDescent="0.25">
      <c r="A68" s="101">
        <v>83</v>
      </c>
      <c r="B68" s="113">
        <v>66500000</v>
      </c>
      <c r="C68" s="103" t="s">
        <v>218</v>
      </c>
      <c r="D68" s="114">
        <f>80000</f>
        <v>80000</v>
      </c>
      <c r="E68" s="114"/>
      <c r="F68" s="114"/>
      <c r="G68" s="110">
        <f t="shared" si="0"/>
        <v>80000</v>
      </c>
      <c r="H68" s="103" t="s">
        <v>29</v>
      </c>
      <c r="I68" s="103" t="s">
        <v>223</v>
      </c>
      <c r="J68" s="111"/>
    </row>
    <row r="69" spans="1:10" ht="31.5" x14ac:dyDescent="0.25">
      <c r="A69" s="101">
        <v>84</v>
      </c>
      <c r="B69" s="113">
        <v>71200000</v>
      </c>
      <c r="C69" s="103" t="s">
        <v>61</v>
      </c>
      <c r="D69" s="114">
        <f>754000</f>
        <v>754000</v>
      </c>
      <c r="E69" s="110"/>
      <c r="F69" s="110"/>
      <c r="G69" s="110">
        <f t="shared" si="0"/>
        <v>754000</v>
      </c>
      <c r="H69" s="103" t="s">
        <v>29</v>
      </c>
      <c r="I69" s="103" t="s">
        <v>223</v>
      </c>
      <c r="J69" s="111"/>
    </row>
    <row r="70" spans="1:10" x14ac:dyDescent="0.25">
      <c r="A70" s="101">
        <v>86</v>
      </c>
      <c r="B70" s="113">
        <v>71300000</v>
      </c>
      <c r="C70" s="103" t="s">
        <v>63</v>
      </c>
      <c r="D70" s="114">
        <f>187000</f>
        <v>187000</v>
      </c>
      <c r="E70" s="110"/>
      <c r="F70" s="110"/>
      <c r="G70" s="110">
        <f t="shared" si="0"/>
        <v>187000</v>
      </c>
      <c r="H70" s="103" t="s">
        <v>29</v>
      </c>
      <c r="I70" s="103" t="s">
        <v>223</v>
      </c>
      <c r="J70" s="76"/>
    </row>
    <row r="71" spans="1:10" ht="31.5" x14ac:dyDescent="0.25">
      <c r="A71" s="101">
        <v>87</v>
      </c>
      <c r="B71" s="113">
        <v>71600000</v>
      </c>
      <c r="C71" s="103" t="s">
        <v>182</v>
      </c>
      <c r="D71" s="114">
        <f>600</f>
        <v>600</v>
      </c>
      <c r="E71" s="110"/>
      <c r="F71" s="110"/>
      <c r="G71" s="110">
        <f t="shared" si="0"/>
        <v>600</v>
      </c>
      <c r="H71" s="103" t="s">
        <v>19</v>
      </c>
      <c r="I71" s="103" t="s">
        <v>223</v>
      </c>
      <c r="J71" s="111"/>
    </row>
    <row r="72" spans="1:10" ht="47.25" x14ac:dyDescent="0.25">
      <c r="A72" s="101"/>
      <c r="B72" s="113">
        <v>72200000</v>
      </c>
      <c r="C72" s="103" t="s">
        <v>245</v>
      </c>
      <c r="D72" s="114">
        <f>3000</f>
        <v>3000</v>
      </c>
      <c r="E72" s="110"/>
      <c r="F72" s="110"/>
      <c r="G72" s="110">
        <f t="shared" ref="G72:G87" si="1">D72+E72+F72</f>
        <v>3000</v>
      </c>
      <c r="H72" s="103" t="s">
        <v>19</v>
      </c>
      <c r="I72" s="103" t="s">
        <v>223</v>
      </c>
      <c r="J72" s="111"/>
    </row>
    <row r="73" spans="1:10" x14ac:dyDescent="0.25">
      <c r="A73" s="101">
        <v>88</v>
      </c>
      <c r="B73" s="113">
        <v>72400000</v>
      </c>
      <c r="C73" s="103" t="s">
        <v>64</v>
      </c>
      <c r="D73" s="114">
        <f>54800</f>
        <v>54800</v>
      </c>
      <c r="E73" s="114">
        <f>4200</f>
        <v>4200</v>
      </c>
      <c r="F73" s="114">
        <f>1000</f>
        <v>1000</v>
      </c>
      <c r="G73" s="110">
        <f t="shared" si="1"/>
        <v>60000</v>
      </c>
      <c r="H73" s="103" t="s">
        <v>19</v>
      </c>
      <c r="I73" s="103" t="s">
        <v>223</v>
      </c>
      <c r="J73" s="111" t="s">
        <v>62</v>
      </c>
    </row>
    <row r="74" spans="1:10" x14ac:dyDescent="0.25">
      <c r="A74" s="101">
        <v>89</v>
      </c>
      <c r="B74" s="113">
        <v>75100000</v>
      </c>
      <c r="C74" s="103" t="s">
        <v>184</v>
      </c>
      <c r="D74" s="114">
        <f>1000</f>
        <v>1000</v>
      </c>
      <c r="E74" s="114"/>
      <c r="F74" s="114"/>
      <c r="G74" s="110">
        <f t="shared" si="1"/>
        <v>1000</v>
      </c>
      <c r="H74" s="103" t="s">
        <v>19</v>
      </c>
      <c r="I74" s="103" t="s">
        <v>223</v>
      </c>
      <c r="J74" s="111"/>
    </row>
    <row r="75" spans="1:10" x14ac:dyDescent="0.25">
      <c r="A75" s="101">
        <v>90</v>
      </c>
      <c r="B75" s="113">
        <v>79200000</v>
      </c>
      <c r="C75" s="109" t="s">
        <v>65</v>
      </c>
      <c r="D75" s="114">
        <f>10000</f>
        <v>10000</v>
      </c>
      <c r="E75" s="110"/>
      <c r="F75" s="110"/>
      <c r="G75" s="110">
        <f t="shared" si="1"/>
        <v>10000</v>
      </c>
      <c r="H75" s="103" t="s">
        <v>29</v>
      </c>
      <c r="I75" s="103" t="s">
        <v>223</v>
      </c>
      <c r="J75" s="111"/>
    </row>
    <row r="76" spans="1:10" ht="47.25" x14ac:dyDescent="0.25">
      <c r="A76" s="101">
        <v>91</v>
      </c>
      <c r="B76" s="113">
        <v>79400000</v>
      </c>
      <c r="C76" s="103" t="s">
        <v>114</v>
      </c>
      <c r="D76" s="114">
        <f>4990</f>
        <v>4990</v>
      </c>
      <c r="E76" s="110"/>
      <c r="F76" s="110"/>
      <c r="G76" s="110">
        <f t="shared" si="1"/>
        <v>4990</v>
      </c>
      <c r="H76" s="103" t="s">
        <v>19</v>
      </c>
      <c r="I76" s="103" t="s">
        <v>223</v>
      </c>
      <c r="J76" s="111"/>
    </row>
    <row r="77" spans="1:10" ht="47.25" x14ac:dyDescent="0.25">
      <c r="A77" s="101">
        <v>92</v>
      </c>
      <c r="B77" s="113">
        <v>79500000</v>
      </c>
      <c r="C77" s="103" t="s">
        <v>66</v>
      </c>
      <c r="D77" s="114">
        <f>1500</f>
        <v>1500</v>
      </c>
      <c r="E77" s="110"/>
      <c r="F77" s="110"/>
      <c r="G77" s="110">
        <f t="shared" si="1"/>
        <v>1500</v>
      </c>
      <c r="H77" s="103" t="s">
        <v>19</v>
      </c>
      <c r="I77" s="103" t="s">
        <v>223</v>
      </c>
      <c r="J77" s="111"/>
    </row>
    <row r="78" spans="1:10" ht="31.5" x14ac:dyDescent="0.25">
      <c r="A78" s="101">
        <v>93</v>
      </c>
      <c r="B78" s="113">
        <v>79700000</v>
      </c>
      <c r="C78" s="103" t="s">
        <v>67</v>
      </c>
      <c r="D78" s="114">
        <f>100800+69600</f>
        <v>170400</v>
      </c>
      <c r="E78" s="114">
        <f>98400</f>
        <v>98400</v>
      </c>
      <c r="F78" s="110"/>
      <c r="G78" s="110">
        <f t="shared" si="1"/>
        <v>268800</v>
      </c>
      <c r="H78" s="103" t="s">
        <v>19</v>
      </c>
      <c r="I78" s="103" t="s">
        <v>223</v>
      </c>
      <c r="J78" s="111" t="s">
        <v>57</v>
      </c>
    </row>
    <row r="79" spans="1:10" ht="31.5" x14ac:dyDescent="0.25">
      <c r="A79" s="101">
        <v>94</v>
      </c>
      <c r="B79" s="113">
        <v>79800000</v>
      </c>
      <c r="C79" s="103" t="s">
        <v>68</v>
      </c>
      <c r="D79" s="114">
        <f>15000</f>
        <v>15000</v>
      </c>
      <c r="E79" s="110">
        <f>4000</f>
        <v>4000</v>
      </c>
      <c r="F79" s="110"/>
      <c r="G79" s="110">
        <f t="shared" si="1"/>
        <v>19000</v>
      </c>
      <c r="H79" s="103" t="s">
        <v>29</v>
      </c>
      <c r="I79" s="103" t="s">
        <v>223</v>
      </c>
      <c r="J79" s="111"/>
    </row>
    <row r="80" spans="1:10" ht="47.25" x14ac:dyDescent="0.25">
      <c r="A80" s="101">
        <v>95</v>
      </c>
      <c r="B80" s="113">
        <v>79900000</v>
      </c>
      <c r="C80" s="103" t="s">
        <v>70</v>
      </c>
      <c r="D80" s="114">
        <f>4000</f>
        <v>4000</v>
      </c>
      <c r="E80" s="110">
        <f>600</f>
        <v>600</v>
      </c>
      <c r="F80" s="110">
        <f>100</f>
        <v>100</v>
      </c>
      <c r="G80" s="110">
        <f t="shared" si="1"/>
        <v>4700</v>
      </c>
      <c r="H80" s="103" t="s">
        <v>19</v>
      </c>
      <c r="I80" s="103" t="s">
        <v>223</v>
      </c>
      <c r="J80" s="111"/>
    </row>
    <row r="81" spans="1:10" ht="47.25" x14ac:dyDescent="0.25">
      <c r="A81" s="101">
        <v>96</v>
      </c>
      <c r="B81" s="113">
        <v>79900000</v>
      </c>
      <c r="C81" s="103" t="s">
        <v>70</v>
      </c>
      <c r="D81" s="114">
        <f>3000</f>
        <v>3000</v>
      </c>
      <c r="E81" s="110"/>
      <c r="F81" s="110"/>
      <c r="G81" s="110">
        <f t="shared" si="1"/>
        <v>3000</v>
      </c>
      <c r="H81" s="103" t="s">
        <v>19</v>
      </c>
      <c r="I81" s="103" t="s">
        <v>223</v>
      </c>
      <c r="J81" s="111" t="s">
        <v>57</v>
      </c>
    </row>
    <row r="82" spans="1:10" x14ac:dyDescent="0.25">
      <c r="A82" s="101">
        <v>97</v>
      </c>
      <c r="B82" s="113">
        <v>80500000</v>
      </c>
      <c r="C82" s="103" t="s">
        <v>71</v>
      </c>
      <c r="D82" s="114">
        <f>40000</f>
        <v>40000</v>
      </c>
      <c r="E82" s="110"/>
      <c r="F82" s="110"/>
      <c r="G82" s="110">
        <f t="shared" si="1"/>
        <v>40000</v>
      </c>
      <c r="H82" s="103" t="s">
        <v>29</v>
      </c>
      <c r="I82" s="103" t="s">
        <v>223</v>
      </c>
      <c r="J82" s="111"/>
    </row>
    <row r="83" spans="1:10" ht="31.5" x14ac:dyDescent="0.25">
      <c r="A83" s="101">
        <v>98</v>
      </c>
      <c r="B83" s="113">
        <v>90900000</v>
      </c>
      <c r="C83" s="103" t="s">
        <v>72</v>
      </c>
      <c r="D83" s="114">
        <f>90000</f>
        <v>90000</v>
      </c>
      <c r="E83" s="110">
        <f>2400</f>
        <v>2400</v>
      </c>
      <c r="F83" s="110"/>
      <c r="G83" s="110">
        <f t="shared" si="1"/>
        <v>92400</v>
      </c>
      <c r="H83" s="103" t="s">
        <v>29</v>
      </c>
      <c r="I83" s="103" t="s">
        <v>223</v>
      </c>
      <c r="J83" s="111"/>
    </row>
    <row r="84" spans="1:10" ht="31.5" x14ac:dyDescent="0.25">
      <c r="A84" s="101">
        <v>99</v>
      </c>
      <c r="B84" s="113">
        <v>92200000</v>
      </c>
      <c r="C84" s="103" t="s">
        <v>73</v>
      </c>
      <c r="D84" s="114">
        <f>3900</f>
        <v>3900</v>
      </c>
      <c r="E84" s="110">
        <f>1000</f>
        <v>1000</v>
      </c>
      <c r="F84" s="110"/>
      <c r="G84" s="110">
        <f t="shared" si="1"/>
        <v>4900</v>
      </c>
      <c r="H84" s="103" t="s">
        <v>29</v>
      </c>
      <c r="I84" s="103" t="s">
        <v>223</v>
      </c>
      <c r="J84" s="111"/>
    </row>
    <row r="85" spans="1:10" ht="31.5" x14ac:dyDescent="0.25">
      <c r="A85" s="101">
        <v>100</v>
      </c>
      <c r="B85" s="113">
        <v>92400000</v>
      </c>
      <c r="C85" s="103" t="s">
        <v>74</v>
      </c>
      <c r="D85" s="114">
        <f>4900</f>
        <v>4900</v>
      </c>
      <c r="E85" s="110"/>
      <c r="F85" s="110"/>
      <c r="G85" s="110">
        <f t="shared" si="1"/>
        <v>4900</v>
      </c>
      <c r="H85" s="103" t="s">
        <v>19</v>
      </c>
      <c r="I85" s="103" t="s">
        <v>223</v>
      </c>
      <c r="J85" s="111"/>
    </row>
    <row r="86" spans="1:10" ht="47.25" x14ac:dyDescent="0.25">
      <c r="A86" s="101">
        <v>101</v>
      </c>
      <c r="B86" s="113">
        <v>92500000</v>
      </c>
      <c r="C86" s="103" t="s">
        <v>75</v>
      </c>
      <c r="D86" s="114">
        <f>7600</f>
        <v>7600</v>
      </c>
      <c r="E86" s="110"/>
      <c r="F86" s="110"/>
      <c r="G86" s="110">
        <f t="shared" si="1"/>
        <v>7600</v>
      </c>
      <c r="H86" s="103" t="s">
        <v>19</v>
      </c>
      <c r="I86" s="103" t="s">
        <v>223</v>
      </c>
      <c r="J86" s="111" t="s">
        <v>69</v>
      </c>
    </row>
    <row r="87" spans="1:10" x14ac:dyDescent="0.25">
      <c r="A87" s="101">
        <v>102</v>
      </c>
      <c r="B87" s="113">
        <v>98300000</v>
      </c>
      <c r="C87" s="103" t="s">
        <v>76</v>
      </c>
      <c r="D87" s="114">
        <f>1500+2000</f>
        <v>3500</v>
      </c>
      <c r="E87" s="110"/>
      <c r="F87" s="110"/>
      <c r="G87" s="110">
        <f t="shared" si="1"/>
        <v>3500</v>
      </c>
      <c r="H87" s="103" t="s">
        <v>19</v>
      </c>
      <c r="I87" s="103" t="s">
        <v>223</v>
      </c>
      <c r="J87" s="111"/>
    </row>
    <row r="88" spans="1:10" x14ac:dyDescent="0.25">
      <c r="A88" s="118"/>
      <c r="B88" s="92"/>
      <c r="C88" s="119"/>
      <c r="D88" s="120"/>
      <c r="E88" s="121"/>
      <c r="F88" s="121"/>
      <c r="G88" s="122">
        <f>SUM(G8:G87)</f>
        <v>12366010</v>
      </c>
      <c r="H88" s="123"/>
      <c r="I88" s="123"/>
      <c r="J88" s="124"/>
    </row>
    <row r="89" spans="1:10" x14ac:dyDescent="0.25">
      <c r="C89" s="78"/>
      <c r="G89" s="85"/>
      <c r="H89" s="78"/>
      <c r="I89" s="78"/>
    </row>
    <row r="90" spans="1:10" ht="21" x14ac:dyDescent="0.25">
      <c r="C90" s="155" t="s">
        <v>77</v>
      </c>
      <c r="D90" s="155"/>
      <c r="E90" s="86"/>
      <c r="F90" s="86"/>
      <c r="G90" s="87"/>
      <c r="H90" s="155" t="s">
        <v>78</v>
      </c>
      <c r="I90" s="155"/>
    </row>
    <row r="91" spans="1:10" ht="21" x14ac:dyDescent="0.25">
      <c r="C91" s="146"/>
      <c r="D91" s="88"/>
      <c r="E91" s="86"/>
      <c r="F91" s="86"/>
      <c r="G91" s="86"/>
      <c r="H91" s="146"/>
      <c r="I91" s="78"/>
    </row>
    <row r="92" spans="1:10" ht="21" x14ac:dyDescent="0.25">
      <c r="C92" s="89"/>
      <c r="D92" s="88"/>
      <c r="E92" s="86"/>
      <c r="F92" s="86"/>
      <c r="G92" s="86"/>
      <c r="H92" s="146"/>
    </row>
    <row r="93" spans="1:10" ht="21" x14ac:dyDescent="0.25">
      <c r="C93" s="146"/>
      <c r="D93" s="88"/>
      <c r="E93" s="86"/>
      <c r="F93" s="86"/>
      <c r="G93" s="86"/>
      <c r="H93" s="90"/>
    </row>
  </sheetData>
  <autoFilter ref="A7:J88"/>
  <mergeCells count="10">
    <mergeCell ref="A6:C6"/>
    <mergeCell ref="C90:D90"/>
    <mergeCell ref="H90:I90"/>
    <mergeCell ref="A1:J1"/>
    <mergeCell ref="A2:J2"/>
    <mergeCell ref="A4:C4"/>
    <mergeCell ref="H4:J4"/>
    <mergeCell ref="A5:C5"/>
    <mergeCell ref="H5:J5"/>
    <mergeCell ref="D6:J6"/>
  </mergeCells>
  <pageMargins left="0.7" right="0.7" top="0.75" bottom="0.75" header="0.3" footer="0.3"/>
  <pageSetup paperSize="9" scale="55" orientation="landscape" r:id="rId1"/>
  <colBreaks count="1" manualBreakCount="1">
    <brk id="10" max="1048575" man="1"/>
  </colBreaks>
  <ignoredErrors>
    <ignoredError sqref="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5"/>
  <sheetViews>
    <sheetView zoomScaleNormal="100" workbookViewId="0">
      <selection activeCell="I117" sqref="I117"/>
    </sheetView>
  </sheetViews>
  <sheetFormatPr defaultRowHeight="15" x14ac:dyDescent="0.25"/>
  <cols>
    <col min="1" max="1" width="6.7109375" style="5" bestFit="1" customWidth="1"/>
    <col min="2" max="2" width="18.42578125" style="5" customWidth="1"/>
    <col min="3" max="3" width="22.85546875" style="29" bestFit="1" customWidth="1"/>
    <col min="4" max="4" width="51" style="5" customWidth="1"/>
    <col min="5" max="5" width="10.140625" style="5" bestFit="1" customWidth="1"/>
    <col min="6" max="6" width="19.28515625" style="5" customWidth="1"/>
    <col min="7" max="7" width="17.140625" style="5" bestFit="1" customWidth="1"/>
    <col min="8" max="8" width="16.140625" style="5" bestFit="1" customWidth="1"/>
    <col min="9" max="9" width="20.28515625" style="5" bestFit="1" customWidth="1"/>
    <col min="10" max="16384" width="9.140625" style="5"/>
  </cols>
  <sheetData>
    <row r="1" spans="1:9" x14ac:dyDescent="0.25">
      <c r="A1" s="28" t="s">
        <v>5</v>
      </c>
      <c r="B1" s="28" t="s">
        <v>79</v>
      </c>
      <c r="C1" s="33" t="s">
        <v>110</v>
      </c>
      <c r="D1" s="28" t="s">
        <v>80</v>
      </c>
      <c r="E1" s="28" t="s">
        <v>81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60" customHeight="1" x14ac:dyDescent="0.25">
      <c r="A2" s="3">
        <v>1</v>
      </c>
      <c r="B2" s="6" t="s">
        <v>228</v>
      </c>
      <c r="C2" s="23">
        <v>6000</v>
      </c>
      <c r="D2" s="133" t="s">
        <v>82</v>
      </c>
      <c r="E2" s="7">
        <v>22100000</v>
      </c>
      <c r="F2" s="8">
        <f>1500</f>
        <v>1500</v>
      </c>
      <c r="G2" s="8"/>
      <c r="H2" s="8">
        <f>2000</f>
        <v>2000</v>
      </c>
      <c r="I2" s="9">
        <f t="shared" ref="I2:I42" si="0">F2+G2+H2</f>
        <v>3500</v>
      </c>
    </row>
    <row r="3" spans="1:9" x14ac:dyDescent="0.25">
      <c r="A3" s="3"/>
      <c r="B3" s="6" t="s">
        <v>229</v>
      </c>
      <c r="C3" s="23">
        <f>15000</f>
        <v>15000</v>
      </c>
      <c r="D3" s="133"/>
      <c r="E3" s="7">
        <v>22400000</v>
      </c>
      <c r="F3" s="8">
        <f>2000</f>
        <v>2000</v>
      </c>
      <c r="G3" s="8">
        <f>500</f>
        <v>500</v>
      </c>
      <c r="H3" s="8"/>
      <c r="I3" s="9">
        <f t="shared" si="0"/>
        <v>2500</v>
      </c>
    </row>
    <row r="4" spans="1:9" x14ac:dyDescent="0.25">
      <c r="A4" s="3"/>
      <c r="B4" s="6" t="s">
        <v>230</v>
      </c>
      <c r="C4" s="23">
        <f>1000+1000</f>
        <v>2000</v>
      </c>
      <c r="D4" s="133"/>
      <c r="E4" s="7">
        <v>22800000</v>
      </c>
      <c r="F4" s="8">
        <f>3500</f>
        <v>3500</v>
      </c>
      <c r="G4" s="8">
        <f>1000</f>
        <v>1000</v>
      </c>
      <c r="H4" s="8"/>
      <c r="I4" s="9">
        <f t="shared" si="0"/>
        <v>4500</v>
      </c>
    </row>
    <row r="5" spans="1:9" x14ac:dyDescent="0.25">
      <c r="A5" s="3"/>
      <c r="B5" s="3"/>
      <c r="C5" s="23"/>
      <c r="D5" s="133"/>
      <c r="E5" s="7">
        <v>30100000</v>
      </c>
      <c r="F5" s="8">
        <f>3000</f>
        <v>3000</v>
      </c>
      <c r="G5" s="8">
        <f>1500</f>
        <v>1500</v>
      </c>
      <c r="H5" s="8"/>
      <c r="I5" s="9">
        <f t="shared" si="0"/>
        <v>4500</v>
      </c>
    </row>
    <row r="6" spans="1:9" x14ac:dyDescent="0.25">
      <c r="A6" s="3"/>
      <c r="B6" s="3"/>
      <c r="C6" s="23"/>
      <c r="D6" s="133"/>
      <c r="E6" s="7">
        <v>30100000</v>
      </c>
      <c r="F6" s="8">
        <f>5000</f>
        <v>5000</v>
      </c>
      <c r="G6" s="8">
        <f>3000</f>
        <v>3000</v>
      </c>
      <c r="H6" s="8"/>
      <c r="I6" s="9">
        <f t="shared" si="0"/>
        <v>8000</v>
      </c>
    </row>
    <row r="7" spans="1:9" x14ac:dyDescent="0.25">
      <c r="A7" s="10"/>
      <c r="B7" s="10"/>
      <c r="C7" s="11"/>
      <c r="D7" s="12"/>
      <c r="E7" s="10"/>
      <c r="F7" s="13"/>
      <c r="G7" s="13"/>
      <c r="H7" s="13"/>
      <c r="I7" s="14">
        <f t="shared" si="0"/>
        <v>0</v>
      </c>
    </row>
    <row r="8" spans="1:9" ht="60" x14ac:dyDescent="0.25">
      <c r="A8" s="3">
        <v>2</v>
      </c>
      <c r="B8" s="6" t="s">
        <v>229</v>
      </c>
      <c r="C8" s="23">
        <v>4000</v>
      </c>
      <c r="D8" s="17" t="s">
        <v>100</v>
      </c>
      <c r="E8" s="7">
        <v>79800000</v>
      </c>
      <c r="F8" s="8">
        <f>4000</f>
        <v>4000</v>
      </c>
      <c r="G8" s="8"/>
      <c r="H8" s="8"/>
      <c r="I8" s="9">
        <f t="shared" si="0"/>
        <v>4000</v>
      </c>
    </row>
    <row r="9" spans="1:9" x14ac:dyDescent="0.25">
      <c r="A9" s="10"/>
      <c r="B9" s="10"/>
      <c r="C9" s="11"/>
      <c r="D9" s="12"/>
      <c r="E9" s="10"/>
      <c r="F9" s="13"/>
      <c r="G9" s="13"/>
      <c r="H9" s="13"/>
      <c r="I9" s="14">
        <f t="shared" si="0"/>
        <v>0</v>
      </c>
    </row>
    <row r="10" spans="1:9" ht="15" customHeight="1" x14ac:dyDescent="0.25">
      <c r="A10" s="3">
        <v>3</v>
      </c>
      <c r="B10" s="6" t="s">
        <v>228</v>
      </c>
      <c r="C10" s="23">
        <v>2000</v>
      </c>
      <c r="D10" s="17" t="s">
        <v>191</v>
      </c>
      <c r="E10" s="7">
        <v>30200000</v>
      </c>
      <c r="F10" s="8"/>
      <c r="G10" s="8">
        <v>2000</v>
      </c>
      <c r="H10" s="8"/>
      <c r="I10" s="9">
        <f t="shared" si="0"/>
        <v>2000</v>
      </c>
    </row>
    <row r="11" spans="1:9" x14ac:dyDescent="0.25">
      <c r="A11" s="125"/>
      <c r="B11" s="125"/>
      <c r="C11" s="127"/>
      <c r="D11" s="125"/>
      <c r="E11" s="125"/>
      <c r="F11" s="128"/>
      <c r="G11" s="128"/>
      <c r="H11" s="128"/>
      <c r="I11" s="14">
        <f t="shared" si="0"/>
        <v>0</v>
      </c>
    </row>
    <row r="12" spans="1:9" ht="15" customHeight="1" x14ac:dyDescent="0.25">
      <c r="A12" s="3">
        <v>4</v>
      </c>
      <c r="B12" s="6" t="s">
        <v>228</v>
      </c>
      <c r="C12" s="23">
        <v>3000</v>
      </c>
      <c r="D12" s="17" t="s">
        <v>83</v>
      </c>
      <c r="E12" s="7">
        <v>30100000</v>
      </c>
      <c r="F12" s="8">
        <f>6300</f>
        <v>6300</v>
      </c>
      <c r="G12" s="8">
        <f>2000</f>
        <v>2000</v>
      </c>
      <c r="H12" s="8"/>
      <c r="I12" s="9">
        <f t="shared" si="0"/>
        <v>8300</v>
      </c>
    </row>
    <row r="13" spans="1:9" x14ac:dyDescent="0.25">
      <c r="A13" s="3"/>
      <c r="B13" s="6" t="s">
        <v>229</v>
      </c>
      <c r="C13" s="23">
        <f>13000</f>
        <v>13000</v>
      </c>
      <c r="D13" s="17"/>
      <c r="E13" s="7">
        <v>50300000</v>
      </c>
      <c r="F13" s="8">
        <f>6700</f>
        <v>6700</v>
      </c>
      <c r="G13" s="8">
        <f>1000</f>
        <v>1000</v>
      </c>
      <c r="H13" s="8">
        <f>300</f>
        <v>300</v>
      </c>
      <c r="I13" s="9">
        <f t="shared" si="0"/>
        <v>8000</v>
      </c>
    </row>
    <row r="14" spans="1:9" x14ac:dyDescent="0.25">
      <c r="A14" s="3"/>
      <c r="B14" s="6" t="s">
        <v>230</v>
      </c>
      <c r="C14" s="23">
        <f>300</f>
        <v>300</v>
      </c>
      <c r="D14" s="17"/>
      <c r="E14" s="7"/>
      <c r="F14" s="8"/>
      <c r="G14" s="8"/>
      <c r="H14" s="8"/>
      <c r="I14" s="9">
        <f t="shared" si="0"/>
        <v>0</v>
      </c>
    </row>
    <row r="15" spans="1:9" x14ac:dyDescent="0.25">
      <c r="A15" s="10"/>
      <c r="B15" s="15"/>
      <c r="C15" s="11"/>
      <c r="D15" s="16"/>
      <c r="E15" s="10"/>
      <c r="F15" s="13"/>
      <c r="G15" s="13"/>
      <c r="H15" s="13"/>
      <c r="I15" s="14">
        <f t="shared" si="0"/>
        <v>0</v>
      </c>
    </row>
    <row r="16" spans="1:9" ht="15" customHeight="1" x14ac:dyDescent="0.25">
      <c r="A16" s="3">
        <v>5</v>
      </c>
      <c r="B16" s="6" t="s">
        <v>228</v>
      </c>
      <c r="C16" s="23">
        <v>1500</v>
      </c>
      <c r="D16" s="17" t="s">
        <v>225</v>
      </c>
      <c r="E16" s="7">
        <v>42500000</v>
      </c>
      <c r="F16" s="8"/>
      <c r="G16" s="8">
        <v>1500</v>
      </c>
      <c r="H16" s="8"/>
      <c r="I16" s="9">
        <f t="shared" si="0"/>
        <v>1500</v>
      </c>
    </row>
    <row r="17" spans="1:9" x14ac:dyDescent="0.25">
      <c r="A17" s="125"/>
      <c r="B17" s="126"/>
      <c r="C17" s="127"/>
      <c r="D17" s="125"/>
      <c r="E17" s="125"/>
      <c r="F17" s="128"/>
      <c r="G17" s="128"/>
      <c r="H17" s="128"/>
      <c r="I17" s="14">
        <f t="shared" si="0"/>
        <v>0</v>
      </c>
    </row>
    <row r="18" spans="1:9" ht="15" customHeight="1" x14ac:dyDescent="0.25">
      <c r="A18" s="3">
        <v>6</v>
      </c>
      <c r="B18" s="6" t="s">
        <v>228</v>
      </c>
      <c r="C18" s="23">
        <v>3600</v>
      </c>
      <c r="D18" s="17" t="s">
        <v>84</v>
      </c>
      <c r="E18" s="7">
        <v>30200000</v>
      </c>
      <c r="F18" s="8">
        <f>3000</f>
        <v>3000</v>
      </c>
      <c r="G18" s="8">
        <f>1600</f>
        <v>1600</v>
      </c>
      <c r="H18" s="8">
        <f>1300</f>
        <v>1300</v>
      </c>
      <c r="I18" s="9">
        <f t="shared" si="0"/>
        <v>5900</v>
      </c>
    </row>
    <row r="19" spans="1:9" x14ac:dyDescent="0.25">
      <c r="A19" s="3"/>
      <c r="B19" s="6" t="s">
        <v>229</v>
      </c>
      <c r="C19" s="23">
        <v>5000</v>
      </c>
      <c r="D19" s="17"/>
      <c r="E19" s="7">
        <v>31200000</v>
      </c>
      <c r="F19" s="8">
        <f>300</f>
        <v>300</v>
      </c>
      <c r="G19" s="8">
        <f>300</f>
        <v>300</v>
      </c>
      <c r="H19" s="8"/>
      <c r="I19" s="9">
        <f t="shared" si="0"/>
        <v>600</v>
      </c>
    </row>
    <row r="20" spans="1:9" x14ac:dyDescent="0.25">
      <c r="A20" s="3"/>
      <c r="B20" s="6" t="s">
        <v>230</v>
      </c>
      <c r="C20" s="23">
        <f>1300</f>
        <v>1300</v>
      </c>
      <c r="D20" s="17"/>
      <c r="E20" s="7">
        <v>31300000</v>
      </c>
      <c r="F20" s="8">
        <f>300</f>
        <v>300</v>
      </c>
      <c r="G20" s="8">
        <f>300</f>
        <v>300</v>
      </c>
      <c r="H20" s="8"/>
      <c r="I20" s="9">
        <f t="shared" si="0"/>
        <v>600</v>
      </c>
    </row>
    <row r="21" spans="1:9" x14ac:dyDescent="0.25">
      <c r="A21" s="3"/>
      <c r="B21" s="3"/>
      <c r="C21" s="4"/>
      <c r="D21" s="17"/>
      <c r="E21" s="7">
        <v>31400000</v>
      </c>
      <c r="F21" s="8">
        <f>100</f>
        <v>100</v>
      </c>
      <c r="G21" s="8">
        <f>100</f>
        <v>100</v>
      </c>
      <c r="H21" s="8"/>
      <c r="I21" s="9">
        <f t="shared" si="0"/>
        <v>200</v>
      </c>
    </row>
    <row r="22" spans="1:9" x14ac:dyDescent="0.25">
      <c r="A22" s="3"/>
      <c r="B22" s="3"/>
      <c r="C22" s="4"/>
      <c r="D22" s="17"/>
      <c r="E22" s="7">
        <v>31500000</v>
      </c>
      <c r="F22" s="8">
        <f>300</f>
        <v>300</v>
      </c>
      <c r="G22" s="8">
        <f>300-50</f>
        <v>250</v>
      </c>
      <c r="H22" s="8"/>
      <c r="I22" s="9">
        <f t="shared" si="0"/>
        <v>550</v>
      </c>
    </row>
    <row r="23" spans="1:9" x14ac:dyDescent="0.25">
      <c r="A23" s="34"/>
      <c r="B23" s="34"/>
      <c r="C23" s="49"/>
      <c r="D23" s="37"/>
      <c r="E23" s="47">
        <v>32400000</v>
      </c>
      <c r="F23" s="48">
        <f>100</f>
        <v>100</v>
      </c>
      <c r="G23" s="48"/>
      <c r="H23" s="48"/>
      <c r="I23" s="9">
        <f t="shared" si="0"/>
        <v>100</v>
      </c>
    </row>
    <row r="24" spans="1:9" x14ac:dyDescent="0.25">
      <c r="A24" s="3"/>
      <c r="B24" s="3"/>
      <c r="C24" s="4"/>
      <c r="D24" s="17"/>
      <c r="E24" s="7">
        <v>44100000</v>
      </c>
      <c r="F24" s="8">
        <f>500-100</f>
        <v>400</v>
      </c>
      <c r="G24" s="8">
        <f>500</f>
        <v>500</v>
      </c>
      <c r="H24" s="8"/>
      <c r="I24" s="9">
        <f t="shared" si="0"/>
        <v>900</v>
      </c>
    </row>
    <row r="25" spans="1:9" x14ac:dyDescent="0.25">
      <c r="A25" s="3"/>
      <c r="B25" s="3"/>
      <c r="C25" s="4"/>
      <c r="D25" s="17"/>
      <c r="E25" s="7">
        <v>44400000</v>
      </c>
      <c r="F25" s="8">
        <f>500</f>
        <v>500</v>
      </c>
      <c r="G25" s="8">
        <f>500</f>
        <v>500</v>
      </c>
      <c r="H25" s="8"/>
      <c r="I25" s="9">
        <f t="shared" si="0"/>
        <v>1000</v>
      </c>
    </row>
    <row r="26" spans="1:9" x14ac:dyDescent="0.25">
      <c r="A26" s="34"/>
      <c r="B26" s="34"/>
      <c r="C26" s="49"/>
      <c r="D26" s="37"/>
      <c r="E26" s="47">
        <v>14800000</v>
      </c>
      <c r="F26" s="48"/>
      <c r="G26" s="48">
        <f>50</f>
        <v>50</v>
      </c>
      <c r="H26" s="48"/>
      <c r="I26" s="9">
        <f t="shared" si="0"/>
        <v>50</v>
      </c>
    </row>
    <row r="27" spans="1:9" x14ac:dyDescent="0.25">
      <c r="A27" s="10"/>
      <c r="B27" s="10"/>
      <c r="C27" s="11"/>
      <c r="D27" s="10"/>
      <c r="E27" s="10"/>
      <c r="F27" s="13"/>
      <c r="G27" s="13"/>
      <c r="H27" s="13"/>
      <c r="I27" s="14">
        <f t="shared" si="0"/>
        <v>0</v>
      </c>
    </row>
    <row r="28" spans="1:9" ht="30" customHeight="1" x14ac:dyDescent="0.25">
      <c r="A28" s="3">
        <v>7</v>
      </c>
      <c r="B28" s="6" t="s">
        <v>228</v>
      </c>
      <c r="C28" s="23">
        <v>10000</v>
      </c>
      <c r="D28" s="17" t="s">
        <v>192</v>
      </c>
      <c r="E28" s="7">
        <v>39100000</v>
      </c>
      <c r="F28" s="8">
        <f>13000</f>
        <v>13000</v>
      </c>
      <c r="G28" s="8">
        <f>10000</f>
        <v>10000</v>
      </c>
      <c r="H28" s="8"/>
      <c r="I28" s="9">
        <f t="shared" si="0"/>
        <v>23000</v>
      </c>
    </row>
    <row r="29" spans="1:9" ht="30" customHeight="1" x14ac:dyDescent="0.25">
      <c r="A29" s="129"/>
      <c r="B29" s="6" t="s">
        <v>229</v>
      </c>
      <c r="C29" s="23">
        <v>13000</v>
      </c>
      <c r="D29" s="135"/>
      <c r="E29" s="130"/>
      <c r="F29" s="131"/>
      <c r="G29" s="131"/>
      <c r="H29" s="131"/>
      <c r="I29" s="9">
        <f t="shared" si="0"/>
        <v>0</v>
      </c>
    </row>
    <row r="30" spans="1:9" x14ac:dyDescent="0.25">
      <c r="A30" s="125"/>
      <c r="B30" s="125"/>
      <c r="C30" s="127"/>
      <c r="D30" s="125"/>
      <c r="E30" s="125"/>
      <c r="F30" s="128"/>
      <c r="G30" s="128"/>
      <c r="H30" s="128"/>
      <c r="I30" s="14">
        <f t="shared" si="0"/>
        <v>0</v>
      </c>
    </row>
    <row r="31" spans="1:9" ht="30" customHeight="1" x14ac:dyDescent="0.25">
      <c r="A31" s="3">
        <v>8</v>
      </c>
      <c r="B31" s="6" t="s">
        <v>228</v>
      </c>
      <c r="C31" s="23">
        <v>0</v>
      </c>
      <c r="D31" s="17" t="s">
        <v>193</v>
      </c>
      <c r="E31" s="136">
        <v>35800000</v>
      </c>
      <c r="F31" s="8"/>
      <c r="G31" s="8"/>
      <c r="H31" s="8"/>
      <c r="I31" s="9">
        <f t="shared" si="0"/>
        <v>0</v>
      </c>
    </row>
    <row r="32" spans="1:9" x14ac:dyDescent="0.25">
      <c r="A32" s="125"/>
      <c r="B32" s="125"/>
      <c r="C32" s="127"/>
      <c r="D32" s="125"/>
      <c r="E32" s="125"/>
      <c r="F32" s="128"/>
      <c r="G32" s="128"/>
      <c r="H32" s="128"/>
      <c r="I32" s="14">
        <f t="shared" si="0"/>
        <v>0</v>
      </c>
    </row>
    <row r="33" spans="1:9" ht="30" customHeight="1" x14ac:dyDescent="0.25">
      <c r="A33" s="3">
        <v>9</v>
      </c>
      <c r="B33" s="6" t="s">
        <v>228</v>
      </c>
      <c r="C33" s="23">
        <v>2500</v>
      </c>
      <c r="D33" s="17" t="s">
        <v>85</v>
      </c>
      <c r="E33" s="7">
        <v>18400000</v>
      </c>
      <c r="F33" s="8"/>
      <c r="G33" s="8">
        <f>100</f>
        <v>100</v>
      </c>
      <c r="H33" s="8"/>
      <c r="I33" s="9">
        <f t="shared" si="0"/>
        <v>100</v>
      </c>
    </row>
    <row r="34" spans="1:9" x14ac:dyDescent="0.25">
      <c r="A34" s="3"/>
      <c r="B34" s="6"/>
      <c r="C34" s="4"/>
      <c r="D34" s="17"/>
      <c r="E34" s="7">
        <v>19600000</v>
      </c>
      <c r="F34" s="8"/>
      <c r="G34" s="8">
        <f>300</f>
        <v>300</v>
      </c>
      <c r="H34" s="8"/>
      <c r="I34" s="9">
        <f t="shared" si="0"/>
        <v>300</v>
      </c>
    </row>
    <row r="35" spans="1:9" x14ac:dyDescent="0.25">
      <c r="A35" s="3"/>
      <c r="B35" s="6"/>
      <c r="C35" s="4"/>
      <c r="D35" s="17"/>
      <c r="E35" s="7">
        <v>33700000</v>
      </c>
      <c r="F35" s="8"/>
      <c r="G35" s="8">
        <f>1000-200</f>
        <v>800</v>
      </c>
      <c r="H35" s="8"/>
      <c r="I35" s="9">
        <f t="shared" si="0"/>
        <v>800</v>
      </c>
    </row>
    <row r="36" spans="1:9" x14ac:dyDescent="0.25">
      <c r="A36" s="3"/>
      <c r="B36" s="3"/>
      <c r="C36" s="4"/>
      <c r="D36" s="17"/>
      <c r="E36" s="7">
        <v>39200000</v>
      </c>
      <c r="F36" s="8"/>
      <c r="G36" s="8">
        <f>300</f>
        <v>300</v>
      </c>
      <c r="H36" s="8"/>
      <c r="I36" s="9">
        <f t="shared" si="0"/>
        <v>300</v>
      </c>
    </row>
    <row r="37" spans="1:9" x14ac:dyDescent="0.25">
      <c r="A37" s="3"/>
      <c r="B37" s="3"/>
      <c r="C37" s="4"/>
      <c r="D37" s="17"/>
      <c r="E37" s="7">
        <v>39500000</v>
      </c>
      <c r="F37" s="8"/>
      <c r="G37" s="8">
        <f>300</f>
        <v>300</v>
      </c>
      <c r="H37" s="8"/>
      <c r="I37" s="9">
        <f t="shared" si="0"/>
        <v>300</v>
      </c>
    </row>
    <row r="38" spans="1:9" x14ac:dyDescent="0.25">
      <c r="A38" s="34"/>
      <c r="B38" s="34"/>
      <c r="C38" s="49"/>
      <c r="D38" s="37"/>
      <c r="E38" s="47">
        <v>39700000</v>
      </c>
      <c r="F38" s="48"/>
      <c r="G38" s="8">
        <f>400</f>
        <v>400</v>
      </c>
      <c r="H38" s="48"/>
      <c r="I38" s="9">
        <f t="shared" si="0"/>
        <v>400</v>
      </c>
    </row>
    <row r="39" spans="1:9" x14ac:dyDescent="0.25">
      <c r="A39" s="3"/>
      <c r="B39" s="3"/>
      <c r="C39" s="4"/>
      <c r="D39" s="17"/>
      <c r="E39" s="7">
        <v>39800000</v>
      </c>
      <c r="F39" s="8"/>
      <c r="G39" s="8">
        <f>300</f>
        <v>300</v>
      </c>
      <c r="H39" s="8"/>
      <c r="I39" s="9">
        <f t="shared" si="0"/>
        <v>300</v>
      </c>
    </row>
    <row r="40" spans="1:9" x14ac:dyDescent="0.25">
      <c r="A40" s="10"/>
      <c r="B40" s="10"/>
      <c r="C40" s="11"/>
      <c r="D40" s="16"/>
      <c r="E40" s="10"/>
      <c r="F40" s="13"/>
      <c r="G40" s="13"/>
      <c r="H40" s="13"/>
      <c r="I40" s="14">
        <f t="shared" si="0"/>
        <v>0</v>
      </c>
    </row>
    <row r="41" spans="1:9" ht="30" x14ac:dyDescent="0.25">
      <c r="A41" s="3">
        <v>10</v>
      </c>
      <c r="B41" s="6" t="s">
        <v>228</v>
      </c>
      <c r="C41" s="23">
        <v>2500</v>
      </c>
      <c r="D41" s="17" t="s">
        <v>194</v>
      </c>
      <c r="E41" s="7">
        <v>90900000</v>
      </c>
      <c r="F41" s="8"/>
      <c r="G41" s="8">
        <f>2400</f>
        <v>2400</v>
      </c>
      <c r="H41" s="8"/>
      <c r="I41" s="9">
        <f t="shared" si="0"/>
        <v>2400</v>
      </c>
    </row>
    <row r="42" spans="1:9" x14ac:dyDescent="0.25">
      <c r="A42" s="125"/>
      <c r="B42" s="125"/>
      <c r="C42" s="127"/>
      <c r="D42" s="125"/>
      <c r="E42" s="125"/>
      <c r="F42" s="128"/>
      <c r="G42" s="128"/>
      <c r="H42" s="128"/>
      <c r="I42" s="14">
        <f t="shared" si="0"/>
        <v>0</v>
      </c>
    </row>
    <row r="43" spans="1:9" ht="60" x14ac:dyDescent="0.25">
      <c r="A43" s="3"/>
      <c r="B43" s="6" t="s">
        <v>228</v>
      </c>
      <c r="C43" s="23">
        <v>3000</v>
      </c>
      <c r="D43" s="17" t="s">
        <v>87</v>
      </c>
      <c r="E43" s="7"/>
      <c r="F43" s="8"/>
      <c r="G43" s="8"/>
      <c r="H43" s="8"/>
      <c r="I43" s="9"/>
    </row>
    <row r="44" spans="1:9" x14ac:dyDescent="0.25">
      <c r="A44" s="3">
        <v>11</v>
      </c>
      <c r="B44" s="6" t="s">
        <v>229</v>
      </c>
      <c r="C44" s="23">
        <f>50000</f>
        <v>50000</v>
      </c>
      <c r="D44" s="129"/>
      <c r="E44" s="7">
        <v>50700000</v>
      </c>
      <c r="F44" s="8">
        <f>50000</f>
        <v>50000</v>
      </c>
      <c r="G44" s="8">
        <f>3000</f>
        <v>3000</v>
      </c>
      <c r="H44" s="8"/>
      <c r="I44" s="9">
        <f t="shared" ref="I44:I51" si="1">F44+G44+H44</f>
        <v>53000</v>
      </c>
    </row>
    <row r="45" spans="1:9" x14ac:dyDescent="0.25">
      <c r="A45" s="10"/>
      <c r="B45" s="15"/>
      <c r="C45" s="11"/>
      <c r="D45" s="16"/>
      <c r="E45" s="10"/>
      <c r="F45" s="13"/>
      <c r="G45" s="13"/>
      <c r="H45" s="13"/>
      <c r="I45" s="14">
        <f t="shared" si="1"/>
        <v>0</v>
      </c>
    </row>
    <row r="46" spans="1:9" ht="15" customHeight="1" x14ac:dyDescent="0.25">
      <c r="A46" s="3">
        <v>12</v>
      </c>
      <c r="B46" s="6" t="s">
        <v>228</v>
      </c>
      <c r="C46" s="23">
        <v>15000</v>
      </c>
      <c r="D46" s="17" t="s">
        <v>86</v>
      </c>
      <c r="E46" s="18">
        <v>64200000</v>
      </c>
      <c r="F46" s="8">
        <f>300+300</f>
        <v>600</v>
      </c>
      <c r="G46" s="8">
        <f>300</f>
        <v>300</v>
      </c>
      <c r="H46" s="8"/>
      <c r="I46" s="9">
        <f t="shared" si="1"/>
        <v>900</v>
      </c>
    </row>
    <row r="47" spans="1:9" x14ac:dyDescent="0.25">
      <c r="A47" s="3"/>
      <c r="B47" s="6" t="s">
        <v>229</v>
      </c>
      <c r="C47" s="23">
        <v>111000</v>
      </c>
      <c r="D47" s="17"/>
      <c r="E47" s="19">
        <v>64200000</v>
      </c>
      <c r="F47" s="8">
        <f>500</f>
        <v>500</v>
      </c>
      <c r="G47" s="8">
        <f>500</f>
        <v>500</v>
      </c>
      <c r="H47" s="8">
        <f>500</f>
        <v>500</v>
      </c>
      <c r="I47" s="9">
        <f t="shared" si="1"/>
        <v>1500</v>
      </c>
    </row>
    <row r="48" spans="1:9" x14ac:dyDescent="0.25">
      <c r="A48" s="3"/>
      <c r="B48" s="6" t="s">
        <v>230</v>
      </c>
      <c r="C48" s="23">
        <f>3000</f>
        <v>3000</v>
      </c>
      <c r="D48" s="17"/>
      <c r="E48" s="20">
        <v>64200000</v>
      </c>
      <c r="F48" s="8">
        <f>3000</f>
        <v>3000</v>
      </c>
      <c r="G48" s="8"/>
      <c r="H48" s="8"/>
      <c r="I48" s="9">
        <f t="shared" si="1"/>
        <v>3000</v>
      </c>
    </row>
    <row r="49" spans="1:9" x14ac:dyDescent="0.25">
      <c r="A49" s="3"/>
      <c r="B49" s="3"/>
      <c r="C49" s="23"/>
      <c r="D49" s="17"/>
      <c r="E49" s="21">
        <v>64200000</v>
      </c>
      <c r="F49" s="8">
        <f>48200</f>
        <v>48200</v>
      </c>
      <c r="G49" s="8">
        <f>9000</f>
        <v>9000</v>
      </c>
      <c r="H49" s="8">
        <f>1500</f>
        <v>1500</v>
      </c>
      <c r="I49" s="9">
        <f t="shared" si="1"/>
        <v>58700</v>
      </c>
    </row>
    <row r="50" spans="1:9" x14ac:dyDescent="0.25">
      <c r="A50" s="3"/>
      <c r="B50" s="3"/>
      <c r="C50" s="23"/>
      <c r="D50" s="17"/>
      <c r="E50" s="7">
        <v>72400000</v>
      </c>
      <c r="F50" s="8">
        <f>4200+600+50000</f>
        <v>54800</v>
      </c>
      <c r="G50" s="8">
        <f>4200</f>
        <v>4200</v>
      </c>
      <c r="H50" s="8">
        <f>1000</f>
        <v>1000</v>
      </c>
      <c r="I50" s="9">
        <f t="shared" si="1"/>
        <v>60000</v>
      </c>
    </row>
    <row r="51" spans="1:9" x14ac:dyDescent="0.25">
      <c r="A51" s="3"/>
      <c r="B51" s="3"/>
      <c r="C51" s="23"/>
      <c r="D51" s="17"/>
      <c r="E51" s="7">
        <v>92200000</v>
      </c>
      <c r="F51" s="8">
        <f>3900</f>
        <v>3900</v>
      </c>
      <c r="G51" s="8">
        <f>1000</f>
        <v>1000</v>
      </c>
      <c r="H51" s="8"/>
      <c r="I51" s="9">
        <f t="shared" si="1"/>
        <v>4900</v>
      </c>
    </row>
    <row r="52" spans="1:9" x14ac:dyDescent="0.25">
      <c r="A52" s="10"/>
      <c r="B52" s="10"/>
      <c r="C52" s="11"/>
      <c r="D52" s="10"/>
      <c r="E52" s="10"/>
      <c r="F52" s="13"/>
      <c r="G52" s="13"/>
      <c r="H52" s="13"/>
      <c r="I52" s="14"/>
    </row>
    <row r="53" spans="1:9" x14ac:dyDescent="0.25">
      <c r="A53" s="129">
        <v>13</v>
      </c>
      <c r="B53" s="6" t="s">
        <v>229</v>
      </c>
      <c r="C53" s="147">
        <v>20000</v>
      </c>
      <c r="D53" s="135" t="s">
        <v>226</v>
      </c>
      <c r="E53" s="130">
        <v>64100000</v>
      </c>
      <c r="F53" s="131">
        <f>20000</f>
        <v>20000</v>
      </c>
      <c r="G53" s="131"/>
      <c r="H53" s="131"/>
      <c r="I53" s="9">
        <f t="shared" ref="I53:I84" si="2">F53+G53+H53</f>
        <v>20000</v>
      </c>
    </row>
    <row r="54" spans="1:9" x14ac:dyDescent="0.25">
      <c r="A54" s="10"/>
      <c r="B54" s="10"/>
      <c r="C54" s="11"/>
      <c r="D54" s="10"/>
      <c r="E54" s="10"/>
      <c r="F54" s="13"/>
      <c r="G54" s="13"/>
      <c r="H54" s="13"/>
      <c r="I54" s="14">
        <f t="shared" si="2"/>
        <v>0</v>
      </c>
    </row>
    <row r="55" spans="1:9" ht="30" x14ac:dyDescent="0.25">
      <c r="A55" s="7">
        <v>13</v>
      </c>
      <c r="B55" s="6" t="s">
        <v>229</v>
      </c>
      <c r="C55" s="24">
        <v>90000</v>
      </c>
      <c r="D55" s="46" t="s">
        <v>88</v>
      </c>
      <c r="E55" s="7">
        <v>90900000</v>
      </c>
      <c r="F55" s="45">
        <f>90000</f>
        <v>90000</v>
      </c>
      <c r="G55" s="45"/>
      <c r="H55" s="45"/>
      <c r="I55" s="9">
        <f t="shared" si="2"/>
        <v>90000</v>
      </c>
    </row>
    <row r="56" spans="1:9" x14ac:dyDescent="0.25">
      <c r="A56" s="10"/>
      <c r="B56" s="10"/>
      <c r="C56" s="11"/>
      <c r="D56" s="10"/>
      <c r="E56" s="10"/>
      <c r="F56" s="13"/>
      <c r="G56" s="13"/>
      <c r="H56" s="13"/>
      <c r="I56" s="14">
        <f t="shared" si="2"/>
        <v>0</v>
      </c>
    </row>
    <row r="57" spans="1:9" ht="30" customHeight="1" x14ac:dyDescent="0.25">
      <c r="A57" s="3">
        <v>14</v>
      </c>
      <c r="B57" s="6" t="s">
        <v>228</v>
      </c>
      <c r="C57" s="23">
        <v>3000</v>
      </c>
      <c r="D57" s="17" t="s">
        <v>89</v>
      </c>
      <c r="E57" s="7">
        <v>15900000</v>
      </c>
      <c r="F57" s="8">
        <f>3900</f>
        <v>3900</v>
      </c>
      <c r="G57" s="8">
        <f>3000</f>
        <v>3000</v>
      </c>
      <c r="H57" s="8"/>
      <c r="I57" s="9">
        <f t="shared" si="2"/>
        <v>6900</v>
      </c>
    </row>
    <row r="58" spans="1:9" x14ac:dyDescent="0.25">
      <c r="A58" s="3"/>
      <c r="B58" s="6" t="s">
        <v>229</v>
      </c>
      <c r="C58" s="23">
        <f>3900</f>
        <v>3900</v>
      </c>
      <c r="D58" s="17"/>
      <c r="E58" s="7"/>
      <c r="F58" s="8"/>
      <c r="G58" s="8"/>
      <c r="H58" s="8"/>
      <c r="I58" s="9">
        <f t="shared" si="2"/>
        <v>0</v>
      </c>
    </row>
    <row r="59" spans="1:9" x14ac:dyDescent="0.25">
      <c r="A59" s="10"/>
      <c r="B59" s="10"/>
      <c r="C59" s="11"/>
      <c r="D59" s="10"/>
      <c r="E59" s="10"/>
      <c r="F59" s="13"/>
      <c r="G59" s="13"/>
      <c r="H59" s="13"/>
      <c r="I59" s="14">
        <f t="shared" si="2"/>
        <v>0</v>
      </c>
    </row>
    <row r="60" spans="1:9" ht="15" customHeight="1" x14ac:dyDescent="0.25">
      <c r="A60" s="7">
        <v>15</v>
      </c>
      <c r="B60" s="6" t="s">
        <v>228</v>
      </c>
      <c r="C60" s="24">
        <f>6000</f>
        <v>6000</v>
      </c>
      <c r="D60" s="46" t="s">
        <v>90</v>
      </c>
      <c r="E60" s="22">
        <v>15800000</v>
      </c>
      <c r="F60" s="24">
        <f>3000</f>
        <v>3000</v>
      </c>
      <c r="G60" s="24">
        <f>1000-500</f>
        <v>500</v>
      </c>
      <c r="H60" s="45"/>
      <c r="I60" s="9">
        <f t="shared" si="2"/>
        <v>3500</v>
      </c>
    </row>
    <row r="61" spans="1:9" x14ac:dyDescent="0.25">
      <c r="A61" s="7"/>
      <c r="B61" s="6" t="s">
        <v>229</v>
      </c>
      <c r="C61" s="24">
        <v>30000</v>
      </c>
      <c r="D61" s="46"/>
      <c r="E61" s="22">
        <v>15900000</v>
      </c>
      <c r="F61" s="24">
        <f>3000</f>
        <v>3000</v>
      </c>
      <c r="G61" s="24">
        <f>1000-500</f>
        <v>500</v>
      </c>
      <c r="H61" s="45"/>
      <c r="I61" s="9">
        <f t="shared" si="2"/>
        <v>3500</v>
      </c>
    </row>
    <row r="62" spans="1:9" x14ac:dyDescent="0.25">
      <c r="A62" s="7"/>
      <c r="B62" s="7"/>
      <c r="C62" s="24"/>
      <c r="D62" s="46"/>
      <c r="E62" s="22">
        <v>18500000</v>
      </c>
      <c r="F62" s="24">
        <f>3000</f>
        <v>3000</v>
      </c>
      <c r="G62" s="24">
        <f>1500</f>
        <v>1500</v>
      </c>
      <c r="H62" s="45"/>
      <c r="I62" s="9">
        <f t="shared" si="2"/>
        <v>4500</v>
      </c>
    </row>
    <row r="63" spans="1:9" x14ac:dyDescent="0.25">
      <c r="A63" s="7"/>
      <c r="B63" s="7"/>
      <c r="C63" s="24"/>
      <c r="D63" s="46"/>
      <c r="E63" s="7">
        <v>55100000</v>
      </c>
      <c r="F63" s="45">
        <f>10000</f>
        <v>10000</v>
      </c>
      <c r="G63" s="24">
        <f>1500</f>
        <v>1500</v>
      </c>
      <c r="H63" s="45"/>
      <c r="I63" s="9">
        <f t="shared" si="2"/>
        <v>11500</v>
      </c>
    </row>
    <row r="64" spans="1:9" x14ac:dyDescent="0.25">
      <c r="A64" s="7"/>
      <c r="B64" s="7"/>
      <c r="C64" s="24"/>
      <c r="D64" s="46"/>
      <c r="E64" s="7">
        <v>55300000</v>
      </c>
      <c r="F64" s="45">
        <f>11000</f>
        <v>11000</v>
      </c>
      <c r="G64" s="24">
        <f>2000</f>
        <v>2000</v>
      </c>
      <c r="H64" s="45"/>
      <c r="I64" s="9">
        <f t="shared" si="2"/>
        <v>13000</v>
      </c>
    </row>
    <row r="65" spans="1:9" x14ac:dyDescent="0.25">
      <c r="A65" s="10"/>
      <c r="B65" s="10"/>
      <c r="C65" s="11"/>
      <c r="D65" s="16"/>
      <c r="E65" s="10"/>
      <c r="F65" s="13"/>
      <c r="G65" s="27"/>
      <c r="H65" s="13"/>
      <c r="I65" s="14">
        <f t="shared" si="2"/>
        <v>0</v>
      </c>
    </row>
    <row r="66" spans="1:9" s="140" customFormat="1" ht="30" x14ac:dyDescent="0.25">
      <c r="A66" s="136">
        <v>16</v>
      </c>
      <c r="B66" s="6" t="s">
        <v>229</v>
      </c>
      <c r="C66" s="23">
        <v>10000</v>
      </c>
      <c r="D66" s="138" t="s">
        <v>91</v>
      </c>
      <c r="E66" s="137">
        <v>18300000</v>
      </c>
      <c r="F66" s="23">
        <f>10000</f>
        <v>10000</v>
      </c>
      <c r="G66" s="8"/>
      <c r="H66" s="8"/>
      <c r="I66" s="9">
        <f t="shared" si="2"/>
        <v>10000</v>
      </c>
    </row>
    <row r="67" spans="1:9" x14ac:dyDescent="0.25">
      <c r="A67" s="10"/>
      <c r="B67" s="10"/>
      <c r="C67" s="11"/>
      <c r="D67" s="10"/>
      <c r="E67" s="10"/>
      <c r="F67" s="13"/>
      <c r="G67" s="13"/>
      <c r="H67" s="13"/>
      <c r="I67" s="14">
        <f t="shared" si="2"/>
        <v>0</v>
      </c>
    </row>
    <row r="68" spans="1:9" ht="15" customHeight="1" x14ac:dyDescent="0.25">
      <c r="A68" s="7">
        <v>17</v>
      </c>
      <c r="B68" s="6" t="s">
        <v>228</v>
      </c>
      <c r="C68" s="24">
        <f>15000</f>
        <v>15000</v>
      </c>
      <c r="D68" s="46" t="s">
        <v>92</v>
      </c>
      <c r="E68" s="22" t="s">
        <v>15</v>
      </c>
      <c r="F68" s="24">
        <f>115000</f>
        <v>115000</v>
      </c>
      <c r="G68" s="24">
        <f>15000</f>
        <v>15000</v>
      </c>
      <c r="H68" s="24">
        <f>14000</f>
        <v>14000</v>
      </c>
      <c r="I68" s="9">
        <f t="shared" si="2"/>
        <v>144000</v>
      </c>
    </row>
    <row r="69" spans="1:9" x14ac:dyDescent="0.25">
      <c r="A69" s="7"/>
      <c r="B69" s="6" t="s">
        <v>229</v>
      </c>
      <c r="C69" s="24">
        <f>120000</f>
        <v>120000</v>
      </c>
      <c r="D69" s="46"/>
      <c r="E69" s="22" t="s">
        <v>195</v>
      </c>
      <c r="F69" s="45">
        <f>5000</f>
        <v>5000</v>
      </c>
      <c r="G69" s="45"/>
      <c r="H69" s="45"/>
      <c r="I69" s="9">
        <f t="shared" si="2"/>
        <v>5000</v>
      </c>
    </row>
    <row r="70" spans="1:9" x14ac:dyDescent="0.25">
      <c r="A70" s="7"/>
      <c r="B70" s="6" t="s">
        <v>230</v>
      </c>
      <c r="C70" s="24">
        <f>14000</f>
        <v>14000</v>
      </c>
      <c r="D70" s="46"/>
      <c r="E70" s="7"/>
      <c r="F70" s="45"/>
      <c r="G70" s="45"/>
      <c r="H70" s="45"/>
      <c r="I70" s="9">
        <f t="shared" si="2"/>
        <v>0</v>
      </c>
    </row>
    <row r="71" spans="1:9" x14ac:dyDescent="0.25">
      <c r="A71" s="10"/>
      <c r="B71" s="10"/>
      <c r="C71" s="11"/>
      <c r="D71" s="10"/>
      <c r="E71" s="10"/>
      <c r="F71" s="13"/>
      <c r="G71" s="13"/>
      <c r="H71" s="13"/>
      <c r="I71" s="14">
        <f t="shared" si="2"/>
        <v>0</v>
      </c>
    </row>
    <row r="72" spans="1:9" x14ac:dyDescent="0.25">
      <c r="A72" s="3">
        <v>18</v>
      </c>
      <c r="B72" s="6" t="s">
        <v>229</v>
      </c>
      <c r="C72" s="23">
        <f>22000-7000</f>
        <v>15000</v>
      </c>
      <c r="D72" s="25" t="s">
        <v>93</v>
      </c>
      <c r="E72" s="22">
        <v>50100000</v>
      </c>
      <c r="F72" s="23">
        <f>22000-7000</f>
        <v>15000</v>
      </c>
      <c r="G72" s="24"/>
      <c r="H72" s="24"/>
      <c r="I72" s="9">
        <f t="shared" si="2"/>
        <v>15000</v>
      </c>
    </row>
    <row r="73" spans="1:9" x14ac:dyDescent="0.25">
      <c r="A73" s="10"/>
      <c r="B73" s="15"/>
      <c r="C73" s="11"/>
      <c r="D73" s="26"/>
      <c r="E73" s="10"/>
      <c r="F73" s="10"/>
      <c r="G73" s="10"/>
      <c r="H73" s="10"/>
      <c r="I73" s="14">
        <f t="shared" si="2"/>
        <v>0</v>
      </c>
    </row>
    <row r="74" spans="1:9" ht="30" customHeight="1" x14ac:dyDescent="0.25">
      <c r="A74" s="7">
        <v>19</v>
      </c>
      <c r="B74" s="6" t="s">
        <v>228</v>
      </c>
      <c r="C74" s="24">
        <f>4000</f>
        <v>4000</v>
      </c>
      <c r="D74" s="46" t="s">
        <v>94</v>
      </c>
      <c r="E74" s="22">
        <v>34300000</v>
      </c>
      <c r="F74" s="23">
        <f>3000</f>
        <v>3000</v>
      </c>
      <c r="G74" s="23">
        <f>1000</f>
        <v>1000</v>
      </c>
      <c r="H74" s="23"/>
      <c r="I74" s="139">
        <f t="shared" si="2"/>
        <v>4000</v>
      </c>
    </row>
    <row r="75" spans="1:9" x14ac:dyDescent="0.25">
      <c r="A75" s="7"/>
      <c r="B75" s="6" t="s">
        <v>229</v>
      </c>
      <c r="C75" s="24">
        <v>15000</v>
      </c>
      <c r="D75" s="46"/>
      <c r="E75" s="22">
        <v>50100000</v>
      </c>
      <c r="F75" s="23">
        <f>12000</f>
        <v>12000</v>
      </c>
      <c r="G75" s="23">
        <f>3000</f>
        <v>3000</v>
      </c>
      <c r="H75" s="23"/>
      <c r="I75" s="139">
        <f t="shared" si="2"/>
        <v>15000</v>
      </c>
    </row>
    <row r="76" spans="1:9" x14ac:dyDescent="0.25">
      <c r="A76" s="7"/>
      <c r="B76" s="6" t="s">
        <v>230</v>
      </c>
      <c r="C76" s="24">
        <v>0</v>
      </c>
      <c r="D76" s="46"/>
      <c r="E76" s="137"/>
      <c r="F76" s="23"/>
      <c r="G76" s="23"/>
      <c r="H76" s="23"/>
      <c r="I76" s="139">
        <f t="shared" si="2"/>
        <v>0</v>
      </c>
    </row>
    <row r="77" spans="1:9" x14ac:dyDescent="0.25">
      <c r="A77" s="10"/>
      <c r="B77" s="15"/>
      <c r="C77" s="27"/>
      <c r="D77" s="16"/>
      <c r="E77" s="15"/>
      <c r="F77" s="27"/>
      <c r="G77" s="27"/>
      <c r="H77" s="27"/>
      <c r="I77" s="14">
        <f t="shared" si="2"/>
        <v>0</v>
      </c>
    </row>
    <row r="78" spans="1:9" ht="30" x14ac:dyDescent="0.25">
      <c r="A78" s="3">
        <v>20</v>
      </c>
      <c r="B78" s="6" t="s">
        <v>230</v>
      </c>
      <c r="C78" s="23">
        <f>3000</f>
        <v>3000</v>
      </c>
      <c r="D78" s="25" t="s">
        <v>99</v>
      </c>
      <c r="E78" s="22">
        <v>60100000</v>
      </c>
      <c r="F78" s="23"/>
      <c r="G78" s="24"/>
      <c r="H78" s="24">
        <f>3000</f>
        <v>3000</v>
      </c>
      <c r="I78" s="9">
        <f t="shared" si="2"/>
        <v>3000</v>
      </c>
    </row>
    <row r="79" spans="1:9" x14ac:dyDescent="0.25">
      <c r="A79" s="10"/>
      <c r="B79" s="10"/>
      <c r="C79" s="11"/>
      <c r="D79" s="10"/>
      <c r="E79" s="10"/>
      <c r="F79" s="10"/>
      <c r="G79" s="10"/>
      <c r="H79" s="10"/>
      <c r="I79" s="14">
        <f t="shared" si="2"/>
        <v>0</v>
      </c>
    </row>
    <row r="80" spans="1:9" ht="30" x14ac:dyDescent="0.25">
      <c r="A80" s="3">
        <v>21</v>
      </c>
      <c r="B80" s="6" t="s">
        <v>229</v>
      </c>
      <c r="C80" s="23">
        <f>1500</f>
        <v>1500</v>
      </c>
      <c r="D80" s="25" t="s">
        <v>95</v>
      </c>
      <c r="E80" s="22">
        <v>79500000</v>
      </c>
      <c r="F80" s="23">
        <f>1500</f>
        <v>1500</v>
      </c>
      <c r="G80" s="24"/>
      <c r="H80" s="24"/>
      <c r="I80" s="9">
        <f t="shared" si="2"/>
        <v>1500</v>
      </c>
    </row>
    <row r="81" spans="1:9" x14ac:dyDescent="0.25">
      <c r="A81" s="10"/>
      <c r="B81" s="10"/>
      <c r="C81" s="11"/>
      <c r="D81" s="10"/>
      <c r="E81" s="10"/>
      <c r="F81" s="10"/>
      <c r="G81" s="10"/>
      <c r="H81" s="10"/>
      <c r="I81" s="14">
        <f t="shared" si="2"/>
        <v>0</v>
      </c>
    </row>
    <row r="82" spans="1:9" x14ac:dyDescent="0.25">
      <c r="A82" s="3">
        <v>22</v>
      </c>
      <c r="B82" s="6" t="s">
        <v>229</v>
      </c>
      <c r="C82" s="23">
        <f>10000</f>
        <v>10000</v>
      </c>
      <c r="D82" s="25" t="s">
        <v>96</v>
      </c>
      <c r="E82" s="22">
        <v>79200000</v>
      </c>
      <c r="F82" s="23">
        <f>10000</f>
        <v>10000</v>
      </c>
      <c r="G82" s="24"/>
      <c r="H82" s="24"/>
      <c r="I82" s="9">
        <f t="shared" si="2"/>
        <v>10000</v>
      </c>
    </row>
    <row r="83" spans="1:9" x14ac:dyDescent="0.25">
      <c r="A83" s="10"/>
      <c r="B83" s="15"/>
      <c r="C83" s="11"/>
      <c r="D83" s="26"/>
      <c r="E83" s="15"/>
      <c r="F83" s="27"/>
      <c r="G83" s="27"/>
      <c r="H83" s="27"/>
      <c r="I83" s="14">
        <f t="shared" si="2"/>
        <v>0</v>
      </c>
    </row>
    <row r="84" spans="1:9" x14ac:dyDescent="0.25">
      <c r="A84" s="3">
        <v>23</v>
      </c>
      <c r="B84" s="6" t="s">
        <v>229</v>
      </c>
      <c r="C84" s="23">
        <f>7600</f>
        <v>7600</v>
      </c>
      <c r="D84" s="25" t="s">
        <v>97</v>
      </c>
      <c r="E84" s="7">
        <v>92500000</v>
      </c>
      <c r="F84" s="23">
        <f>7600</f>
        <v>7600</v>
      </c>
      <c r="G84" s="24"/>
      <c r="H84" s="24"/>
      <c r="I84" s="9">
        <f t="shared" si="2"/>
        <v>7600</v>
      </c>
    </row>
    <row r="85" spans="1:9" x14ac:dyDescent="0.25">
      <c r="A85" s="10"/>
      <c r="B85" s="15"/>
      <c r="C85" s="11"/>
      <c r="D85" s="26"/>
      <c r="E85" s="15"/>
      <c r="F85" s="27"/>
      <c r="G85" s="27"/>
      <c r="H85" s="27"/>
      <c r="I85" s="14">
        <f t="shared" ref="I85:I116" si="3">F85+G85+H85</f>
        <v>0</v>
      </c>
    </row>
    <row r="86" spans="1:9" ht="15" customHeight="1" x14ac:dyDescent="0.25">
      <c r="A86" s="3">
        <v>24</v>
      </c>
      <c r="B86" s="6" t="s">
        <v>228</v>
      </c>
      <c r="C86" s="23">
        <f>98400</f>
        <v>98400</v>
      </c>
      <c r="D86" s="17" t="s">
        <v>98</v>
      </c>
      <c r="E86" s="7">
        <v>79700000</v>
      </c>
      <c r="F86" s="23">
        <f>100800</f>
        <v>100800</v>
      </c>
      <c r="G86" s="24">
        <f>98400</f>
        <v>98400</v>
      </c>
      <c r="H86" s="24"/>
      <c r="I86" s="9">
        <f t="shared" si="3"/>
        <v>199200</v>
      </c>
    </row>
    <row r="87" spans="1:9" x14ac:dyDescent="0.25">
      <c r="A87" s="3"/>
      <c r="B87" s="6" t="s">
        <v>229</v>
      </c>
      <c r="C87" s="23">
        <f>100800</f>
        <v>100800</v>
      </c>
      <c r="D87" s="17"/>
      <c r="E87" s="22"/>
      <c r="F87" s="23"/>
      <c r="G87" s="24"/>
      <c r="H87" s="24"/>
      <c r="I87" s="9">
        <f t="shared" si="3"/>
        <v>0</v>
      </c>
    </row>
    <row r="88" spans="1:9" x14ac:dyDescent="0.25">
      <c r="A88" s="10"/>
      <c r="B88" s="15"/>
      <c r="C88" s="11"/>
      <c r="D88" s="26"/>
      <c r="E88" s="15"/>
      <c r="F88" s="27"/>
      <c r="G88" s="27"/>
      <c r="H88" s="27"/>
      <c r="I88" s="14">
        <f t="shared" si="3"/>
        <v>0</v>
      </c>
    </row>
    <row r="89" spans="1:9" ht="45" customHeight="1" x14ac:dyDescent="0.25">
      <c r="A89" s="3">
        <v>25</v>
      </c>
      <c r="B89" s="6" t="s">
        <v>228</v>
      </c>
      <c r="C89" s="23">
        <v>13500</v>
      </c>
      <c r="D89" s="17" t="s">
        <v>101</v>
      </c>
      <c r="E89" s="22"/>
      <c r="F89" s="23"/>
      <c r="G89" s="24"/>
      <c r="H89" s="24"/>
      <c r="I89" s="9">
        <f t="shared" si="3"/>
        <v>0</v>
      </c>
    </row>
    <row r="90" spans="1:9" ht="45" customHeight="1" x14ac:dyDescent="0.25">
      <c r="A90" s="3"/>
      <c r="B90" s="6" t="s">
        <v>229</v>
      </c>
      <c r="C90" s="23">
        <v>60200</v>
      </c>
      <c r="D90" s="129"/>
      <c r="E90" s="22">
        <v>79400000</v>
      </c>
      <c r="F90" s="23">
        <f>4990</f>
        <v>4990</v>
      </c>
      <c r="G90" s="24"/>
      <c r="H90" s="24"/>
      <c r="I90" s="9">
        <f t="shared" si="3"/>
        <v>4990</v>
      </c>
    </row>
    <row r="91" spans="1:9" x14ac:dyDescent="0.25">
      <c r="A91" s="3"/>
      <c r="B91" s="6" t="s">
        <v>230</v>
      </c>
      <c r="C91" s="23">
        <f>100</f>
        <v>100</v>
      </c>
      <c r="D91" s="17"/>
      <c r="E91" s="22">
        <v>79900000</v>
      </c>
      <c r="F91" s="23">
        <f>4000</f>
        <v>4000</v>
      </c>
      <c r="G91" s="24">
        <f>600</f>
        <v>600</v>
      </c>
      <c r="H91" s="24">
        <v>100</v>
      </c>
      <c r="I91" s="9">
        <f t="shared" si="3"/>
        <v>4700</v>
      </c>
    </row>
    <row r="92" spans="1:9" x14ac:dyDescent="0.25">
      <c r="A92" s="3"/>
      <c r="B92" s="3"/>
      <c r="C92" s="23"/>
      <c r="D92" s="17"/>
      <c r="E92" s="22">
        <v>79800000</v>
      </c>
      <c r="F92" s="23">
        <f>15000</f>
        <v>15000</v>
      </c>
      <c r="G92" s="24"/>
      <c r="H92" s="24"/>
      <c r="I92" s="9">
        <f t="shared" si="3"/>
        <v>15000</v>
      </c>
    </row>
    <row r="93" spans="1:9" x14ac:dyDescent="0.25">
      <c r="A93" s="3"/>
      <c r="B93" s="6"/>
      <c r="C93" s="23"/>
      <c r="D93" s="17"/>
      <c r="E93" s="22">
        <v>92400000</v>
      </c>
      <c r="F93" s="23">
        <f>4900</f>
        <v>4900</v>
      </c>
      <c r="G93" s="24"/>
      <c r="H93" s="24"/>
      <c r="I93" s="9">
        <f t="shared" si="3"/>
        <v>4900</v>
      </c>
    </row>
    <row r="94" spans="1:9" x14ac:dyDescent="0.25">
      <c r="A94" s="3"/>
      <c r="B94" s="6"/>
      <c r="C94" s="23"/>
      <c r="D94" s="17"/>
      <c r="E94" s="22">
        <v>18500000</v>
      </c>
      <c r="F94" s="23">
        <f>4900</f>
        <v>4900</v>
      </c>
      <c r="G94" s="24"/>
      <c r="H94" s="24"/>
      <c r="I94" s="9">
        <f t="shared" si="3"/>
        <v>4900</v>
      </c>
    </row>
    <row r="95" spans="1:9" x14ac:dyDescent="0.25">
      <c r="A95" s="34"/>
      <c r="B95" s="35"/>
      <c r="C95" s="36"/>
      <c r="D95" s="37"/>
      <c r="E95" s="38">
        <v>71600000</v>
      </c>
      <c r="F95" s="39">
        <f>600</f>
        <v>600</v>
      </c>
      <c r="G95" s="40"/>
      <c r="H95" s="40"/>
      <c r="I95" s="9">
        <f t="shared" si="3"/>
        <v>600</v>
      </c>
    </row>
    <row r="96" spans="1:9" x14ac:dyDescent="0.25">
      <c r="A96" s="34"/>
      <c r="B96" s="35"/>
      <c r="C96" s="36"/>
      <c r="D96" s="37"/>
      <c r="E96" s="38">
        <v>75100000</v>
      </c>
      <c r="F96" s="39">
        <f>1000</f>
        <v>1000</v>
      </c>
      <c r="G96" s="40"/>
      <c r="H96" s="40"/>
      <c r="I96" s="9">
        <f t="shared" si="3"/>
        <v>1000</v>
      </c>
    </row>
    <row r="97" spans="1:9" x14ac:dyDescent="0.25">
      <c r="A97" s="129"/>
      <c r="B97" s="134"/>
      <c r="C97" s="147"/>
      <c r="D97" s="135"/>
      <c r="E97" s="149">
        <v>72200000</v>
      </c>
      <c r="F97" s="141">
        <f>3000</f>
        <v>3000</v>
      </c>
      <c r="G97" s="142"/>
      <c r="H97" s="142"/>
      <c r="I97" s="9">
        <f t="shared" si="3"/>
        <v>3000</v>
      </c>
    </row>
    <row r="98" spans="1:9" x14ac:dyDescent="0.25">
      <c r="A98" s="34"/>
      <c r="B98" s="35"/>
      <c r="C98" s="36"/>
      <c r="D98" s="37"/>
      <c r="E98" s="38">
        <v>98300000</v>
      </c>
      <c r="F98" s="39">
        <f>1500</f>
        <v>1500</v>
      </c>
      <c r="G98" s="40"/>
      <c r="H98" s="40"/>
      <c r="I98" s="9">
        <f t="shared" si="3"/>
        <v>1500</v>
      </c>
    </row>
    <row r="99" spans="1:9" x14ac:dyDescent="0.25">
      <c r="A99" s="75"/>
      <c r="B99" s="50"/>
      <c r="C99" s="51"/>
      <c r="D99" s="52"/>
      <c r="E99" s="53">
        <v>33100000</v>
      </c>
      <c r="F99" s="54">
        <f>175</f>
        <v>175</v>
      </c>
      <c r="G99" s="55"/>
      <c r="H99" s="55"/>
      <c r="I99" s="9">
        <f t="shared" si="3"/>
        <v>175</v>
      </c>
    </row>
    <row r="100" spans="1:9" x14ac:dyDescent="0.25">
      <c r="A100" s="75"/>
      <c r="B100" s="50"/>
      <c r="C100" s="51"/>
      <c r="D100" s="52"/>
      <c r="E100" s="53">
        <v>33600000</v>
      </c>
      <c r="F100" s="54">
        <f>45</f>
        <v>45</v>
      </c>
      <c r="G100" s="55"/>
      <c r="H100" s="55"/>
      <c r="I100" s="9">
        <f t="shared" si="3"/>
        <v>45</v>
      </c>
    </row>
    <row r="101" spans="1:9" x14ac:dyDescent="0.25">
      <c r="A101" s="75"/>
      <c r="B101" s="50"/>
      <c r="C101" s="51"/>
      <c r="D101" s="52"/>
      <c r="E101" s="53">
        <v>35800000</v>
      </c>
      <c r="F101" s="54">
        <f>9000</f>
        <v>9000</v>
      </c>
      <c r="G101" s="55"/>
      <c r="H101" s="55"/>
      <c r="I101" s="9">
        <f t="shared" si="3"/>
        <v>9000</v>
      </c>
    </row>
    <row r="102" spans="1:9" x14ac:dyDescent="0.25">
      <c r="A102" s="75"/>
      <c r="B102" s="50"/>
      <c r="C102" s="51"/>
      <c r="D102" s="52"/>
      <c r="E102" s="53">
        <v>39500000</v>
      </c>
      <c r="F102" s="54">
        <f>500</f>
        <v>500</v>
      </c>
      <c r="G102" s="55"/>
      <c r="H102" s="55"/>
      <c r="I102" s="9">
        <f t="shared" si="3"/>
        <v>500</v>
      </c>
    </row>
    <row r="103" spans="1:9" x14ac:dyDescent="0.25">
      <c r="A103" s="34"/>
      <c r="B103" s="35"/>
      <c r="C103" s="36"/>
      <c r="D103" s="37"/>
      <c r="E103" s="38">
        <v>63700000</v>
      </c>
      <c r="F103" s="39">
        <f>20000</f>
        <v>20000</v>
      </c>
      <c r="G103" s="40"/>
      <c r="H103" s="40"/>
      <c r="I103" s="9">
        <f t="shared" si="3"/>
        <v>20000</v>
      </c>
    </row>
    <row r="104" spans="1:9" x14ac:dyDescent="0.25">
      <c r="A104" s="10"/>
      <c r="B104" s="15"/>
      <c r="C104" s="27"/>
      <c r="D104" s="16"/>
      <c r="E104" s="15"/>
      <c r="F104" s="27"/>
      <c r="G104" s="27"/>
      <c r="H104" s="27"/>
      <c r="I104" s="14">
        <f t="shared" si="3"/>
        <v>0</v>
      </c>
    </row>
    <row r="105" spans="1:9" ht="30" x14ac:dyDescent="0.25">
      <c r="A105" s="75">
        <v>26</v>
      </c>
      <c r="B105" s="6" t="s">
        <v>229</v>
      </c>
      <c r="C105" s="23">
        <f>80000</f>
        <v>80000</v>
      </c>
      <c r="D105" s="144" t="s">
        <v>112</v>
      </c>
      <c r="E105" s="145">
        <v>66500000</v>
      </c>
      <c r="F105" s="54">
        <f>80000</f>
        <v>80000</v>
      </c>
      <c r="G105" s="55"/>
      <c r="H105" s="55"/>
      <c r="I105" s="9">
        <f t="shared" si="3"/>
        <v>80000</v>
      </c>
    </row>
    <row r="106" spans="1:9" x14ac:dyDescent="0.25">
      <c r="A106" s="125"/>
      <c r="B106" s="126"/>
      <c r="C106" s="143"/>
      <c r="D106" s="125"/>
      <c r="E106" s="126"/>
      <c r="F106" s="132"/>
      <c r="G106" s="132"/>
      <c r="H106" s="132"/>
      <c r="I106" s="14">
        <f t="shared" si="3"/>
        <v>0</v>
      </c>
    </row>
    <row r="107" spans="1:9" x14ac:dyDescent="0.25">
      <c r="A107" s="3">
        <v>27</v>
      </c>
      <c r="B107" s="6" t="s">
        <v>229</v>
      </c>
      <c r="C107" s="23">
        <f>50000</f>
        <v>50000</v>
      </c>
      <c r="D107" s="30" t="s">
        <v>104</v>
      </c>
      <c r="E107" s="22">
        <v>34100000</v>
      </c>
      <c r="F107" s="23">
        <f>50000</f>
        <v>50000</v>
      </c>
      <c r="G107" s="24"/>
      <c r="H107" s="24"/>
      <c r="I107" s="9">
        <f t="shared" si="3"/>
        <v>50000</v>
      </c>
    </row>
    <row r="108" spans="1:9" x14ac:dyDescent="0.25">
      <c r="A108" s="75"/>
      <c r="B108" s="50"/>
      <c r="C108" s="51"/>
      <c r="D108" s="52"/>
      <c r="E108" s="53"/>
      <c r="F108" s="54"/>
      <c r="G108" s="55"/>
      <c r="H108" s="55"/>
      <c r="I108" s="9">
        <f t="shared" si="3"/>
        <v>0</v>
      </c>
    </row>
    <row r="109" spans="1:9" x14ac:dyDescent="0.25">
      <c r="A109" s="10"/>
      <c r="B109" s="15"/>
      <c r="C109" s="11"/>
      <c r="D109" s="26"/>
      <c r="E109" s="15"/>
      <c r="F109" s="27"/>
      <c r="G109" s="27"/>
      <c r="H109" s="27"/>
      <c r="I109" s="14">
        <f t="shared" si="3"/>
        <v>0</v>
      </c>
    </row>
    <row r="110" spans="1:9" x14ac:dyDescent="0.25">
      <c r="A110" s="3">
        <v>28</v>
      </c>
      <c r="B110" s="6" t="s">
        <v>228</v>
      </c>
      <c r="C110" s="23">
        <f>8000</f>
        <v>8000</v>
      </c>
      <c r="D110" s="31" t="s">
        <v>102</v>
      </c>
      <c r="E110" s="22">
        <v>30200000</v>
      </c>
      <c r="F110" s="23">
        <f>30000</f>
        <v>30000</v>
      </c>
      <c r="G110" s="24">
        <f>8000</f>
        <v>8000</v>
      </c>
      <c r="H110" s="24"/>
      <c r="I110" s="9">
        <f t="shared" si="3"/>
        <v>38000</v>
      </c>
    </row>
    <row r="111" spans="1:9" x14ac:dyDescent="0.25">
      <c r="A111" s="3"/>
      <c r="B111" s="6" t="s">
        <v>229</v>
      </c>
      <c r="C111" s="23">
        <v>30000</v>
      </c>
      <c r="D111" s="129"/>
      <c r="E111" s="22"/>
      <c r="F111" s="129"/>
      <c r="G111" s="24"/>
      <c r="H111" s="24"/>
      <c r="I111" s="9">
        <f t="shared" si="3"/>
        <v>0</v>
      </c>
    </row>
    <row r="112" spans="1:9" x14ac:dyDescent="0.25">
      <c r="A112" s="10"/>
      <c r="B112" s="15"/>
      <c r="C112" s="11"/>
      <c r="D112" s="26"/>
      <c r="E112" s="15"/>
      <c r="F112" s="27"/>
      <c r="G112" s="27"/>
      <c r="H112" s="27"/>
      <c r="I112" s="14">
        <f t="shared" si="3"/>
        <v>0</v>
      </c>
    </row>
    <row r="113" spans="1:9" ht="30" x14ac:dyDescent="0.25">
      <c r="A113" s="3">
        <v>29</v>
      </c>
      <c r="B113" s="6" t="s">
        <v>229</v>
      </c>
      <c r="C113" s="23">
        <v>30000</v>
      </c>
      <c r="D113" s="32" t="s">
        <v>103</v>
      </c>
      <c r="E113" s="22">
        <v>30200000</v>
      </c>
      <c r="F113" s="23">
        <f>30000</f>
        <v>30000</v>
      </c>
      <c r="G113" s="24"/>
      <c r="H113" s="24"/>
      <c r="I113" s="9">
        <f t="shared" si="3"/>
        <v>30000</v>
      </c>
    </row>
    <row r="114" spans="1:9" x14ac:dyDescent="0.25">
      <c r="A114" s="10"/>
      <c r="B114" s="15"/>
      <c r="C114" s="11"/>
      <c r="D114" s="26"/>
      <c r="E114" s="15"/>
      <c r="F114" s="27"/>
      <c r="G114" s="27"/>
      <c r="H114" s="27"/>
      <c r="I114" s="14">
        <f t="shared" si="3"/>
        <v>0</v>
      </c>
    </row>
    <row r="115" spans="1:9" ht="30" customHeight="1" x14ac:dyDescent="0.25">
      <c r="A115" s="3">
        <v>31</v>
      </c>
      <c r="B115" s="6" t="s">
        <v>228</v>
      </c>
      <c r="C115" s="23">
        <f>3000</f>
        <v>3000</v>
      </c>
      <c r="D115" s="56" t="s">
        <v>106</v>
      </c>
      <c r="E115" s="22">
        <v>42500000</v>
      </c>
      <c r="F115" s="129"/>
      <c r="G115" s="23">
        <f>3000</f>
        <v>3000</v>
      </c>
      <c r="H115" s="24"/>
      <c r="I115" s="139">
        <f t="shared" si="3"/>
        <v>3000</v>
      </c>
    </row>
    <row r="116" spans="1:9" x14ac:dyDescent="0.25">
      <c r="A116" s="10"/>
      <c r="B116" s="15"/>
      <c r="C116" s="27"/>
      <c r="D116" s="26"/>
      <c r="E116" s="15"/>
      <c r="F116" s="27"/>
      <c r="G116" s="27"/>
      <c r="H116" s="27"/>
      <c r="I116" s="14">
        <f t="shared" si="3"/>
        <v>0</v>
      </c>
    </row>
    <row r="117" spans="1:9" x14ac:dyDescent="0.25">
      <c r="A117" s="3"/>
      <c r="B117" s="6" t="s">
        <v>231</v>
      </c>
      <c r="C117" s="23">
        <f>20000+80000</f>
        <v>100000</v>
      </c>
      <c r="D117" s="1" t="s">
        <v>232</v>
      </c>
      <c r="E117" s="22">
        <v>24400000</v>
      </c>
      <c r="F117" s="23">
        <f>20000+80000</f>
        <v>100000</v>
      </c>
      <c r="G117" s="24"/>
      <c r="H117" s="24"/>
      <c r="I117" s="139">
        <f t="shared" ref="I117" si="4">F117+G117+H117</f>
        <v>100000</v>
      </c>
    </row>
    <row r="118" spans="1:9" x14ac:dyDescent="0.25">
      <c r="A118" s="125"/>
      <c r="B118" s="126"/>
      <c r="C118" s="143"/>
      <c r="D118" s="125"/>
      <c r="E118" s="126"/>
      <c r="F118" s="132"/>
      <c r="G118" s="132"/>
      <c r="H118" s="132"/>
      <c r="I118" s="148"/>
    </row>
    <row r="119" spans="1:9" ht="60" x14ac:dyDescent="0.25">
      <c r="A119" s="3">
        <v>32</v>
      </c>
      <c r="B119" s="6" t="s">
        <v>227</v>
      </c>
      <c r="C119" s="23">
        <f>40000</f>
        <v>40000</v>
      </c>
      <c r="D119" s="1" t="s">
        <v>107</v>
      </c>
      <c r="E119" s="22">
        <v>80500000</v>
      </c>
      <c r="F119" s="23">
        <f>40000</f>
        <v>40000</v>
      </c>
      <c r="G119" s="24"/>
      <c r="H119" s="24"/>
      <c r="I119" s="9">
        <f t="shared" ref="I119:I141" si="5">F119+G119+H119</f>
        <v>40000</v>
      </c>
    </row>
    <row r="120" spans="1:9" x14ac:dyDescent="0.25">
      <c r="A120" s="10"/>
      <c r="B120" s="15"/>
      <c r="C120" s="27"/>
      <c r="D120" s="26"/>
      <c r="E120" s="15"/>
      <c r="F120" s="27"/>
      <c r="G120" s="27"/>
      <c r="H120" s="27"/>
      <c r="I120" s="14">
        <f t="shared" si="5"/>
        <v>0</v>
      </c>
    </row>
    <row r="121" spans="1:9" ht="45" x14ac:dyDescent="0.25">
      <c r="A121" s="3">
        <v>33</v>
      </c>
      <c r="B121" s="42" t="s">
        <v>108</v>
      </c>
      <c r="C121" s="23">
        <f>300000</f>
        <v>300000</v>
      </c>
      <c r="D121" s="43" t="s">
        <v>101</v>
      </c>
      <c r="E121" s="44">
        <v>45200000</v>
      </c>
      <c r="F121" s="23">
        <f>300000</f>
        <v>300000</v>
      </c>
      <c r="G121" s="24"/>
      <c r="H121" s="24"/>
      <c r="I121" s="9">
        <f t="shared" si="5"/>
        <v>300000</v>
      </c>
    </row>
    <row r="122" spans="1:9" x14ac:dyDescent="0.25">
      <c r="A122" s="10"/>
      <c r="B122" s="15"/>
      <c r="C122" s="27"/>
      <c r="D122" s="26"/>
      <c r="E122" s="15"/>
      <c r="F122" s="27"/>
      <c r="G122" s="27"/>
      <c r="H122" s="27"/>
      <c r="I122" s="14">
        <f t="shared" si="5"/>
        <v>0</v>
      </c>
    </row>
    <row r="123" spans="1:9" x14ac:dyDescent="0.25">
      <c r="A123" s="3">
        <v>34</v>
      </c>
      <c r="B123" s="42" t="s">
        <v>196</v>
      </c>
      <c r="C123" s="23">
        <f>2462600</f>
        <v>2462600</v>
      </c>
      <c r="D123" s="43" t="s">
        <v>116</v>
      </c>
      <c r="E123" s="44">
        <v>45200000</v>
      </c>
      <c r="F123" s="23">
        <f>2462600+649700</f>
        <v>3112300</v>
      </c>
      <c r="G123" s="24"/>
      <c r="H123" s="24"/>
      <c r="I123" s="9">
        <f t="shared" si="5"/>
        <v>3112300</v>
      </c>
    </row>
    <row r="124" spans="1:9" x14ac:dyDescent="0.25">
      <c r="A124" s="129"/>
      <c r="B124" s="134"/>
      <c r="C124" s="23">
        <f>649700</f>
        <v>649700</v>
      </c>
      <c r="D124" s="43" t="s">
        <v>197</v>
      </c>
      <c r="E124" s="44"/>
      <c r="F124" s="141"/>
      <c r="G124" s="142"/>
      <c r="H124" s="142"/>
      <c r="I124" s="9">
        <f t="shared" si="5"/>
        <v>0</v>
      </c>
    </row>
    <row r="125" spans="1:9" x14ac:dyDescent="0.25">
      <c r="A125" s="125"/>
      <c r="B125" s="126"/>
      <c r="C125" s="143"/>
      <c r="D125" s="125"/>
      <c r="E125" s="126"/>
      <c r="F125" s="132"/>
      <c r="G125" s="132"/>
      <c r="H125" s="132"/>
      <c r="I125" s="14">
        <f t="shared" si="5"/>
        <v>0</v>
      </c>
    </row>
    <row r="126" spans="1:9" ht="45" x14ac:dyDescent="0.25">
      <c r="A126" s="3">
        <v>35</v>
      </c>
      <c r="B126" s="42" t="s">
        <v>198</v>
      </c>
      <c r="C126" s="23">
        <f>60000</f>
        <v>60000</v>
      </c>
      <c r="D126" s="43" t="s">
        <v>101</v>
      </c>
      <c r="E126" s="44">
        <v>34900000</v>
      </c>
      <c r="F126" s="23">
        <f>60000</f>
        <v>60000</v>
      </c>
      <c r="G126" s="24"/>
      <c r="H126" s="24"/>
      <c r="I126" s="9">
        <f t="shared" si="5"/>
        <v>60000</v>
      </c>
    </row>
    <row r="127" spans="1:9" x14ac:dyDescent="0.25">
      <c r="A127" s="129"/>
      <c r="B127" s="134"/>
      <c r="C127" s="23">
        <f>302800</f>
        <v>302800</v>
      </c>
      <c r="D127" s="43" t="s">
        <v>116</v>
      </c>
      <c r="E127" s="44">
        <f>44800000</f>
        <v>44800000</v>
      </c>
      <c r="F127" s="141">
        <f>302800</f>
        <v>302800</v>
      </c>
      <c r="G127" s="142"/>
      <c r="H127" s="142"/>
      <c r="I127" s="9">
        <f t="shared" si="5"/>
        <v>302800</v>
      </c>
    </row>
    <row r="128" spans="1:9" x14ac:dyDescent="0.25">
      <c r="A128" s="125"/>
      <c r="B128" s="126"/>
      <c r="C128" s="143"/>
      <c r="D128" s="125"/>
      <c r="E128" s="126"/>
      <c r="F128" s="132"/>
      <c r="G128" s="132"/>
      <c r="H128" s="132"/>
      <c r="I128" s="14">
        <f t="shared" si="5"/>
        <v>0</v>
      </c>
    </row>
    <row r="129" spans="1:9" ht="30" x14ac:dyDescent="0.25">
      <c r="A129" s="3">
        <v>38</v>
      </c>
      <c r="B129" s="6" t="s">
        <v>199</v>
      </c>
      <c r="C129" s="23">
        <f>1542200</f>
        <v>1542200</v>
      </c>
      <c r="D129" s="1" t="s">
        <v>111</v>
      </c>
      <c r="E129" s="22">
        <v>45200000</v>
      </c>
      <c r="F129" s="23">
        <f>1542200</f>
        <v>1542200</v>
      </c>
      <c r="G129" s="24"/>
      <c r="H129" s="24"/>
      <c r="I129" s="139">
        <f t="shared" si="5"/>
        <v>1542200</v>
      </c>
    </row>
    <row r="130" spans="1:9" x14ac:dyDescent="0.25">
      <c r="A130" s="10"/>
      <c r="B130" s="15"/>
      <c r="C130" s="27"/>
      <c r="D130" s="26"/>
      <c r="E130" s="15"/>
      <c r="F130" s="27"/>
      <c r="G130" s="27"/>
      <c r="H130" s="27"/>
      <c r="I130" s="14">
        <f t="shared" si="5"/>
        <v>0</v>
      </c>
    </row>
    <row r="131" spans="1:9" ht="45" x14ac:dyDescent="0.25">
      <c r="A131" s="3">
        <v>39</v>
      </c>
      <c r="B131" s="6" t="s">
        <v>200</v>
      </c>
      <c r="C131" s="23">
        <f>754000</f>
        <v>754000</v>
      </c>
      <c r="D131" s="1" t="s">
        <v>201</v>
      </c>
      <c r="E131" s="22">
        <v>71200000</v>
      </c>
      <c r="F131" s="23">
        <f>754000</f>
        <v>754000</v>
      </c>
      <c r="G131" s="24"/>
      <c r="H131" s="24"/>
      <c r="I131" s="9">
        <f t="shared" si="5"/>
        <v>754000</v>
      </c>
    </row>
    <row r="132" spans="1:9" x14ac:dyDescent="0.25">
      <c r="A132" s="10"/>
      <c r="B132" s="15"/>
      <c r="C132" s="27"/>
      <c r="D132" s="26"/>
      <c r="E132" s="15"/>
      <c r="F132" s="27"/>
      <c r="G132" s="27"/>
      <c r="H132" s="27"/>
      <c r="I132" s="14">
        <f t="shared" si="5"/>
        <v>0</v>
      </c>
    </row>
    <row r="133" spans="1:9" ht="30" x14ac:dyDescent="0.25">
      <c r="A133" s="3">
        <v>40</v>
      </c>
      <c r="B133" s="6" t="s">
        <v>202</v>
      </c>
      <c r="C133" s="23">
        <f>65000</f>
        <v>65000</v>
      </c>
      <c r="D133" s="1" t="s">
        <v>203</v>
      </c>
      <c r="E133" s="22">
        <v>45200000</v>
      </c>
      <c r="F133" s="23">
        <f>65000</f>
        <v>65000</v>
      </c>
      <c r="G133" s="24"/>
      <c r="H133" s="24"/>
      <c r="I133" s="9">
        <f t="shared" si="5"/>
        <v>65000</v>
      </c>
    </row>
    <row r="134" spans="1:9" x14ac:dyDescent="0.25">
      <c r="A134" s="10"/>
      <c r="B134" s="15"/>
      <c r="C134" s="27"/>
      <c r="D134" s="2"/>
      <c r="E134" s="15"/>
      <c r="F134" s="27"/>
      <c r="G134" s="27"/>
      <c r="H134" s="27"/>
      <c r="I134" s="14">
        <f t="shared" si="5"/>
        <v>0</v>
      </c>
    </row>
    <row r="135" spans="1:9" ht="60" x14ac:dyDescent="0.25">
      <c r="A135" s="3">
        <v>41</v>
      </c>
      <c r="B135" s="6" t="s">
        <v>204</v>
      </c>
      <c r="C135" s="23">
        <f>300000</f>
        <v>300000</v>
      </c>
      <c r="D135" s="1" t="s">
        <v>205</v>
      </c>
      <c r="E135" s="22">
        <v>45200000</v>
      </c>
      <c r="F135" s="23">
        <f>300000</f>
        <v>300000</v>
      </c>
      <c r="G135" s="24"/>
      <c r="H135" s="24"/>
      <c r="I135" s="9">
        <f t="shared" si="5"/>
        <v>300000</v>
      </c>
    </row>
    <row r="136" spans="1:9" x14ac:dyDescent="0.25">
      <c r="A136" s="10"/>
      <c r="B136" s="15"/>
      <c r="C136" s="27"/>
      <c r="D136" s="2"/>
      <c r="E136" s="15"/>
      <c r="F136" s="27"/>
      <c r="G136" s="27"/>
      <c r="H136" s="27"/>
      <c r="I136" s="14">
        <f t="shared" si="5"/>
        <v>0</v>
      </c>
    </row>
    <row r="137" spans="1:9" ht="30" x14ac:dyDescent="0.25">
      <c r="A137" s="3">
        <v>43</v>
      </c>
      <c r="B137" s="6" t="s">
        <v>207</v>
      </c>
      <c r="C137" s="23">
        <f>100000</f>
        <v>100000</v>
      </c>
      <c r="D137" s="1" t="s">
        <v>206</v>
      </c>
      <c r="E137" s="22">
        <v>31500000</v>
      </c>
      <c r="F137" s="23">
        <f>100000</f>
        <v>100000</v>
      </c>
      <c r="G137" s="24"/>
      <c r="H137" s="24"/>
      <c r="I137" s="9">
        <f t="shared" si="5"/>
        <v>100000</v>
      </c>
    </row>
    <row r="138" spans="1:9" x14ac:dyDescent="0.25">
      <c r="A138" s="10"/>
      <c r="B138" s="15"/>
      <c r="C138" s="27"/>
      <c r="D138" s="2"/>
      <c r="E138" s="15"/>
      <c r="F138" s="27"/>
      <c r="G138" s="27"/>
      <c r="H138" s="27"/>
      <c r="I138" s="14">
        <f t="shared" si="5"/>
        <v>0</v>
      </c>
    </row>
    <row r="139" spans="1:9" ht="30" x14ac:dyDescent="0.25">
      <c r="A139" s="3">
        <v>44</v>
      </c>
      <c r="B139" s="6" t="s">
        <v>209</v>
      </c>
      <c r="C139" s="23">
        <f>620000</f>
        <v>620000</v>
      </c>
      <c r="D139" s="1" t="s">
        <v>208</v>
      </c>
      <c r="E139" s="22">
        <v>45100000</v>
      </c>
      <c r="F139" s="24">
        <f>620000</f>
        <v>620000</v>
      </c>
      <c r="G139" s="24"/>
      <c r="H139" s="24"/>
      <c r="I139" s="9">
        <f t="shared" si="5"/>
        <v>620000</v>
      </c>
    </row>
    <row r="140" spans="1:9" x14ac:dyDescent="0.25">
      <c r="A140" s="10"/>
      <c r="B140" s="15"/>
      <c r="C140" s="27"/>
      <c r="D140" s="2"/>
      <c r="E140" s="15"/>
      <c r="F140" s="27"/>
      <c r="G140" s="27"/>
      <c r="H140" s="27"/>
      <c r="I140" s="14">
        <f t="shared" si="5"/>
        <v>0</v>
      </c>
    </row>
    <row r="141" spans="1:9" ht="45" x14ac:dyDescent="0.25">
      <c r="A141" s="41"/>
      <c r="B141" s="42" t="s">
        <v>233</v>
      </c>
      <c r="C141" s="23">
        <f>113000</f>
        <v>113000</v>
      </c>
      <c r="D141" s="1" t="s">
        <v>234</v>
      </c>
      <c r="E141" s="44">
        <v>35100000</v>
      </c>
      <c r="F141" s="23">
        <f>113000</f>
        <v>113000</v>
      </c>
      <c r="G141" s="24"/>
      <c r="H141" s="24"/>
      <c r="I141" s="9">
        <f t="shared" si="5"/>
        <v>113000</v>
      </c>
    </row>
    <row r="142" spans="1:9" x14ac:dyDescent="0.25">
      <c r="A142" s="125"/>
      <c r="B142" s="126"/>
      <c r="C142" s="143"/>
      <c r="D142" s="125"/>
      <c r="E142" s="126"/>
      <c r="F142" s="132"/>
      <c r="G142" s="132"/>
      <c r="H142" s="132"/>
      <c r="I142" s="148"/>
    </row>
    <row r="143" spans="1:9" ht="45" x14ac:dyDescent="0.25">
      <c r="A143" s="3">
        <v>47</v>
      </c>
      <c r="B143" s="6" t="s">
        <v>211</v>
      </c>
      <c r="C143" s="23">
        <f>187000</f>
        <v>187000</v>
      </c>
      <c r="D143" s="1" t="s">
        <v>210</v>
      </c>
      <c r="E143" s="22">
        <v>71300000</v>
      </c>
      <c r="F143" s="23">
        <f>187000</f>
        <v>187000</v>
      </c>
      <c r="G143" s="24"/>
      <c r="H143" s="24"/>
      <c r="I143" s="9">
        <f>F143+G143+H143</f>
        <v>187000</v>
      </c>
    </row>
    <row r="144" spans="1:9" x14ac:dyDescent="0.25">
      <c r="A144" s="10"/>
      <c r="B144" s="15"/>
      <c r="C144" s="27"/>
      <c r="D144" s="2"/>
      <c r="E144" s="15"/>
      <c r="F144" s="27"/>
      <c r="G144" s="27"/>
      <c r="H144" s="27"/>
      <c r="I144" s="14">
        <f>F144+G144+H144</f>
        <v>0</v>
      </c>
    </row>
    <row r="145" spans="1:9" x14ac:dyDescent="0.25">
      <c r="A145" s="3"/>
      <c r="B145" s="6" t="s">
        <v>235</v>
      </c>
      <c r="C145" s="23"/>
      <c r="D145" s="1" t="s">
        <v>236</v>
      </c>
      <c r="E145" s="22"/>
      <c r="F145" s="23"/>
      <c r="G145" s="24"/>
      <c r="H145" s="24"/>
      <c r="I145" s="9"/>
    </row>
    <row r="146" spans="1:9" x14ac:dyDescent="0.25">
      <c r="A146" s="129"/>
      <c r="B146" s="134"/>
      <c r="C146" s="23">
        <v>230000</v>
      </c>
      <c r="D146" s="1" t="s">
        <v>237</v>
      </c>
      <c r="E146" s="149">
        <v>45400000</v>
      </c>
      <c r="F146" s="141">
        <f>230000</f>
        <v>230000</v>
      </c>
      <c r="G146" s="142"/>
      <c r="H146" s="142"/>
      <c r="I146" s="9">
        <f t="shared" ref="I146:I153" si="6">F146+G146+H146</f>
        <v>230000</v>
      </c>
    </row>
    <row r="147" spans="1:9" x14ac:dyDescent="0.25">
      <c r="A147" s="129"/>
      <c r="B147" s="134"/>
      <c r="C147" s="23">
        <v>300000</v>
      </c>
      <c r="D147" s="1" t="s">
        <v>238</v>
      </c>
      <c r="E147" s="149">
        <v>45200000</v>
      </c>
      <c r="F147" s="141">
        <f>300000</f>
        <v>300000</v>
      </c>
      <c r="G147" s="142"/>
      <c r="H147" s="142"/>
      <c r="I147" s="9">
        <f t="shared" si="6"/>
        <v>300000</v>
      </c>
    </row>
    <row r="148" spans="1:9" ht="30" x14ac:dyDescent="0.25">
      <c r="A148" s="129"/>
      <c r="B148" s="134"/>
      <c r="C148" s="23">
        <v>200000</v>
      </c>
      <c r="D148" s="1" t="s">
        <v>111</v>
      </c>
      <c r="E148" s="149">
        <v>45200000</v>
      </c>
      <c r="F148" s="141">
        <f>200000</f>
        <v>200000</v>
      </c>
      <c r="G148" s="142"/>
      <c r="H148" s="142"/>
      <c r="I148" s="9">
        <f t="shared" si="6"/>
        <v>200000</v>
      </c>
    </row>
    <row r="149" spans="1:9" x14ac:dyDescent="0.25">
      <c r="A149" s="129"/>
      <c r="B149" s="134"/>
      <c r="C149" s="23">
        <v>400000</v>
      </c>
      <c r="D149" s="1" t="s">
        <v>109</v>
      </c>
      <c r="E149" s="149">
        <v>45300000</v>
      </c>
      <c r="F149" s="141">
        <f>400000</f>
        <v>400000</v>
      </c>
      <c r="G149" s="142"/>
      <c r="H149" s="142"/>
      <c r="I149" s="9">
        <f t="shared" si="6"/>
        <v>400000</v>
      </c>
    </row>
    <row r="150" spans="1:9" x14ac:dyDescent="0.25">
      <c r="A150" s="129"/>
      <c r="B150" s="134"/>
      <c r="C150" s="23">
        <v>1700000</v>
      </c>
      <c r="D150" s="1" t="s">
        <v>239</v>
      </c>
      <c r="E150" s="149">
        <v>45100000</v>
      </c>
      <c r="F150" s="141">
        <f>1700000</f>
        <v>1700000</v>
      </c>
      <c r="G150" s="142"/>
      <c r="H150" s="142"/>
      <c r="I150" s="9">
        <f t="shared" si="6"/>
        <v>1700000</v>
      </c>
    </row>
    <row r="151" spans="1:9" x14ac:dyDescent="0.25">
      <c r="A151" s="129"/>
      <c r="B151" s="134"/>
      <c r="C151" s="23">
        <v>150000</v>
      </c>
      <c r="D151" s="1" t="s">
        <v>240</v>
      </c>
      <c r="E151" s="149" t="s">
        <v>242</v>
      </c>
      <c r="F151" s="141">
        <f>150000</f>
        <v>150000</v>
      </c>
      <c r="G151" s="142"/>
      <c r="H151" s="142"/>
      <c r="I151" s="9">
        <f t="shared" si="6"/>
        <v>150000</v>
      </c>
    </row>
    <row r="152" spans="1:9" ht="30" x14ac:dyDescent="0.25">
      <c r="A152" s="129"/>
      <c r="B152" s="134"/>
      <c r="C152" s="23">
        <v>150000</v>
      </c>
      <c r="D152" s="1" t="s">
        <v>241</v>
      </c>
      <c r="E152" s="149">
        <v>37400000</v>
      </c>
      <c r="F152" s="141">
        <f>150000</f>
        <v>150000</v>
      </c>
      <c r="G152" s="142"/>
      <c r="H152" s="142"/>
      <c r="I152" s="9">
        <f t="shared" si="6"/>
        <v>150000</v>
      </c>
    </row>
    <row r="153" spans="1:9" ht="45" x14ac:dyDescent="0.25">
      <c r="A153" s="129"/>
      <c r="B153" s="134"/>
      <c r="C153" s="23">
        <v>150000</v>
      </c>
      <c r="D153" s="1" t="s">
        <v>106</v>
      </c>
      <c r="E153" s="149">
        <v>44600000</v>
      </c>
      <c r="F153" s="141">
        <f>150000</f>
        <v>150000</v>
      </c>
      <c r="G153" s="142"/>
      <c r="H153" s="142"/>
      <c r="I153" s="9">
        <f t="shared" si="6"/>
        <v>150000</v>
      </c>
    </row>
    <row r="154" spans="1:9" x14ac:dyDescent="0.25">
      <c r="A154" s="125"/>
      <c r="B154" s="126"/>
      <c r="C154" s="143"/>
      <c r="D154" s="125"/>
      <c r="E154" s="126"/>
      <c r="F154" s="132"/>
      <c r="G154" s="132"/>
      <c r="H154" s="132"/>
      <c r="I154" s="148"/>
    </row>
    <row r="155" spans="1:9" ht="30" x14ac:dyDescent="0.25">
      <c r="A155" s="41">
        <v>51</v>
      </c>
      <c r="B155" s="42" t="s">
        <v>212</v>
      </c>
      <c r="C155" s="23">
        <f>310000</f>
        <v>310000</v>
      </c>
      <c r="D155" s="43" t="s">
        <v>213</v>
      </c>
      <c r="E155" s="44">
        <v>45400000</v>
      </c>
      <c r="F155" s="23">
        <f>310000</f>
        <v>310000</v>
      </c>
      <c r="G155" s="24"/>
      <c r="H155" s="24"/>
      <c r="I155" s="9">
        <f t="shared" ref="I155:I161" si="7">F155+G155+H155</f>
        <v>310000</v>
      </c>
    </row>
    <row r="156" spans="1:9" x14ac:dyDescent="0.25">
      <c r="A156" s="34"/>
      <c r="B156" s="35"/>
      <c r="C156" s="36">
        <v>3000</v>
      </c>
      <c r="D156" s="37"/>
      <c r="E156" s="38">
        <v>79900000</v>
      </c>
      <c r="F156" s="39">
        <f>3000</f>
        <v>3000</v>
      </c>
      <c r="G156" s="40"/>
      <c r="H156" s="40"/>
      <c r="I156" s="9">
        <f t="shared" si="7"/>
        <v>3000</v>
      </c>
    </row>
    <row r="157" spans="1:9" x14ac:dyDescent="0.25">
      <c r="A157" s="10"/>
      <c r="B157" s="15"/>
      <c r="C157" s="27"/>
      <c r="D157" s="2"/>
      <c r="E157" s="15"/>
      <c r="F157" s="27"/>
      <c r="G157" s="27"/>
      <c r="H157" s="27"/>
      <c r="I157" s="14">
        <f t="shared" si="7"/>
        <v>0</v>
      </c>
    </row>
    <row r="158" spans="1:9" ht="30" x14ac:dyDescent="0.25">
      <c r="A158" s="3">
        <v>54</v>
      </c>
      <c r="B158" s="6" t="s">
        <v>113</v>
      </c>
      <c r="C158" s="23">
        <f>69600</f>
        <v>69600</v>
      </c>
      <c r="D158" s="1" t="s">
        <v>214</v>
      </c>
      <c r="E158" s="22">
        <v>79700000</v>
      </c>
      <c r="F158" s="23">
        <f>69600</f>
        <v>69600</v>
      </c>
      <c r="G158" s="24"/>
      <c r="H158" s="24"/>
      <c r="I158" s="9">
        <f t="shared" si="7"/>
        <v>69600</v>
      </c>
    </row>
    <row r="159" spans="1:9" x14ac:dyDescent="0.25">
      <c r="A159" s="10"/>
      <c r="B159" s="15"/>
      <c r="C159" s="27"/>
      <c r="D159" s="2"/>
      <c r="E159" s="15"/>
      <c r="F159" s="27"/>
      <c r="G159" s="27"/>
      <c r="H159" s="27"/>
      <c r="I159" s="14">
        <f t="shared" si="7"/>
        <v>0</v>
      </c>
    </row>
    <row r="160" spans="1:9" ht="30" x14ac:dyDescent="0.25">
      <c r="A160" s="3">
        <v>56</v>
      </c>
      <c r="B160" s="3" t="s">
        <v>215</v>
      </c>
      <c r="C160" s="23">
        <f>20000</f>
        <v>20000</v>
      </c>
      <c r="D160" s="1" t="s">
        <v>216</v>
      </c>
      <c r="E160" s="3">
        <v>98300000</v>
      </c>
      <c r="F160" s="23">
        <f>2000</f>
        <v>2000</v>
      </c>
      <c r="G160" s="3"/>
      <c r="H160" s="3"/>
      <c r="I160" s="9">
        <f t="shared" si="7"/>
        <v>2000</v>
      </c>
    </row>
    <row r="161" spans="1:9" x14ac:dyDescent="0.25">
      <c r="A161" s="10"/>
      <c r="B161" s="10"/>
      <c r="C161" s="11"/>
      <c r="D161" s="10"/>
      <c r="E161" s="10"/>
      <c r="F161" s="10"/>
      <c r="G161" s="10"/>
      <c r="H161" s="10"/>
      <c r="I161" s="14">
        <f t="shared" si="7"/>
        <v>0</v>
      </c>
    </row>
    <row r="162" spans="1:9" x14ac:dyDescent="0.25">
      <c r="A162" s="3"/>
      <c r="B162" s="3"/>
      <c r="C162" s="9"/>
      <c r="D162" s="3"/>
      <c r="E162" s="3"/>
      <c r="F162" s="3"/>
      <c r="G162" s="3"/>
      <c r="H162" s="3"/>
      <c r="I162" s="9">
        <f>SUBTOTAL(109,I2:I161)</f>
        <v>12366010</v>
      </c>
    </row>
    <row r="163" spans="1:9" x14ac:dyDescent="0.25">
      <c r="A163" s="3"/>
      <c r="B163" s="3"/>
      <c r="C163" s="4"/>
      <c r="D163" s="150"/>
      <c r="E163" s="3"/>
      <c r="F163" s="3"/>
      <c r="G163" s="3"/>
      <c r="H163" s="3"/>
      <c r="I163" s="3"/>
    </row>
    <row r="164" spans="1:9" x14ac:dyDescent="0.25">
      <c r="A164" s="3"/>
      <c r="B164" s="3"/>
      <c r="C164" s="4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4"/>
      <c r="D165" s="3"/>
      <c r="E165" s="3"/>
      <c r="F165" s="3"/>
      <c r="G165" s="3"/>
      <c r="H165" s="3"/>
      <c r="I165" s="3"/>
    </row>
  </sheetData>
  <pageMargins left="0.7" right="0.7" top="0.75" bottom="0.75" header="0.3" footer="0.3"/>
  <pageSetup paperSize="9" scale="72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8" zoomScaleNormal="100" workbookViewId="0">
      <selection activeCell="B38" sqref="A1:XFD1048576"/>
    </sheetView>
  </sheetViews>
  <sheetFormatPr defaultRowHeight="15" x14ac:dyDescent="0.25"/>
  <cols>
    <col min="1" max="1" width="4" style="57" bestFit="1" customWidth="1"/>
    <col min="2" max="2" width="81.28515625" style="57" customWidth="1"/>
    <col min="3" max="4" width="19" style="73" customWidth="1"/>
    <col min="5" max="5" width="12.28515625" style="57" bestFit="1" customWidth="1"/>
    <col min="6" max="16384" width="9.140625" style="57"/>
  </cols>
  <sheetData>
    <row r="1" spans="1:5" x14ac:dyDescent="0.25">
      <c r="A1" s="162" t="s">
        <v>170</v>
      </c>
      <c r="B1" s="162"/>
      <c r="C1" s="162"/>
      <c r="D1" s="162"/>
      <c r="E1" s="162"/>
    </row>
    <row r="2" spans="1:5" ht="26.25" x14ac:dyDescent="0.25">
      <c r="A2" s="163" t="s">
        <v>118</v>
      </c>
      <c r="B2" s="163"/>
      <c r="C2" s="58"/>
      <c r="D2" s="58"/>
    </row>
    <row r="3" spans="1:5" ht="36" customHeight="1" x14ac:dyDescent="0.25">
      <c r="A3" s="164" t="s">
        <v>171</v>
      </c>
      <c r="B3" s="164"/>
      <c r="C3" s="58"/>
      <c r="D3" s="58"/>
    </row>
    <row r="4" spans="1:5" ht="15.75" customHeight="1" x14ac:dyDescent="0.25">
      <c r="A4" s="165" t="s">
        <v>119</v>
      </c>
      <c r="B4" s="166"/>
      <c r="C4" s="59" t="s">
        <v>120</v>
      </c>
      <c r="D4" s="59" t="s">
        <v>121</v>
      </c>
      <c r="E4" s="60" t="s">
        <v>122</v>
      </c>
    </row>
    <row r="5" spans="1:5" ht="15.75" x14ac:dyDescent="0.25">
      <c r="A5" s="61">
        <v>1</v>
      </c>
      <c r="B5" s="62" t="s">
        <v>123</v>
      </c>
      <c r="C5" s="74">
        <f>160000+20000+14000</f>
        <v>194000</v>
      </c>
      <c r="D5" s="74">
        <f>160000+20000+14000-50000-3000</f>
        <v>141000</v>
      </c>
      <c r="E5" s="63" t="s">
        <v>15</v>
      </c>
    </row>
    <row r="6" spans="1:5" ht="15.75" x14ac:dyDescent="0.25">
      <c r="A6" s="61">
        <v>2</v>
      </c>
      <c r="B6" s="64" t="s">
        <v>124</v>
      </c>
      <c r="C6" s="74">
        <f>3000+1000</f>
        <v>4000</v>
      </c>
      <c r="D6" s="74">
        <f>3000+1000-1000-500</f>
        <v>2500</v>
      </c>
      <c r="E6" s="65">
        <v>15800000</v>
      </c>
    </row>
    <row r="7" spans="1:5" ht="30.75" x14ac:dyDescent="0.25">
      <c r="A7" s="61">
        <v>3</v>
      </c>
      <c r="B7" s="64" t="s">
        <v>125</v>
      </c>
      <c r="C7" s="74">
        <f>3000+1000</f>
        <v>4000</v>
      </c>
      <c r="D7" s="74">
        <f>3000+1000-1000-500</f>
        <v>2500</v>
      </c>
      <c r="E7" s="65">
        <v>15900000</v>
      </c>
    </row>
    <row r="8" spans="1:5" ht="15.75" x14ac:dyDescent="0.25">
      <c r="A8" s="61">
        <v>4</v>
      </c>
      <c r="B8" s="64" t="s">
        <v>126</v>
      </c>
      <c r="C8" s="59">
        <f>3900+1000</f>
        <v>4900</v>
      </c>
      <c r="D8" s="59">
        <f>3900+1000</f>
        <v>4900</v>
      </c>
      <c r="E8" s="65">
        <v>15900000</v>
      </c>
    </row>
    <row r="9" spans="1:5" ht="15.75" x14ac:dyDescent="0.25">
      <c r="A9" s="61">
        <v>5</v>
      </c>
      <c r="B9" s="64" t="s">
        <v>127</v>
      </c>
      <c r="C9" s="74">
        <f>4500</f>
        <v>4500</v>
      </c>
      <c r="D9" s="74">
        <f>4500-4500</f>
        <v>0</v>
      </c>
      <c r="E9" s="65">
        <v>18300000</v>
      </c>
    </row>
    <row r="10" spans="1:5" ht="15.75" x14ac:dyDescent="0.25">
      <c r="A10" s="61">
        <v>6</v>
      </c>
      <c r="B10" s="64" t="s">
        <v>128</v>
      </c>
      <c r="C10" s="59">
        <f>150</f>
        <v>150</v>
      </c>
      <c r="D10" s="59">
        <f>150</f>
        <v>150</v>
      </c>
      <c r="E10" s="65">
        <v>18400000</v>
      </c>
    </row>
    <row r="11" spans="1:5" ht="15.75" x14ac:dyDescent="0.25">
      <c r="A11" s="61">
        <v>7</v>
      </c>
      <c r="B11" s="62" t="s">
        <v>129</v>
      </c>
      <c r="C11" s="74">
        <f>4000+2000</f>
        <v>6000</v>
      </c>
      <c r="D11" s="74">
        <f>4000+2000-2000-1000</f>
        <v>3000</v>
      </c>
      <c r="E11" s="65">
        <v>18500000</v>
      </c>
    </row>
    <row r="12" spans="1:5" ht="15.75" x14ac:dyDescent="0.25">
      <c r="A12" s="61">
        <v>8</v>
      </c>
      <c r="B12" s="62" t="s">
        <v>172</v>
      </c>
      <c r="C12" s="74" t="s">
        <v>173</v>
      </c>
      <c r="D12" s="74">
        <f>4900</f>
        <v>4900</v>
      </c>
      <c r="E12" s="65">
        <v>18500000</v>
      </c>
    </row>
    <row r="13" spans="1:5" ht="15.75" x14ac:dyDescent="0.25">
      <c r="A13" s="61">
        <v>9</v>
      </c>
      <c r="B13" s="62" t="s">
        <v>130</v>
      </c>
      <c r="C13" s="59">
        <f>300</f>
        <v>300</v>
      </c>
      <c r="D13" s="59">
        <f>300</f>
        <v>300</v>
      </c>
      <c r="E13" s="65">
        <v>19600000</v>
      </c>
    </row>
    <row r="14" spans="1:5" ht="30" x14ac:dyDescent="0.25">
      <c r="A14" s="61">
        <v>10</v>
      </c>
      <c r="B14" s="66" t="s">
        <v>131</v>
      </c>
      <c r="C14" s="59">
        <f>1500+2100</f>
        <v>3600</v>
      </c>
      <c r="D14" s="59">
        <f>1500+2100</f>
        <v>3600</v>
      </c>
      <c r="E14" s="67">
        <v>22100000</v>
      </c>
    </row>
    <row r="15" spans="1:5" ht="15.75" x14ac:dyDescent="0.25">
      <c r="A15" s="61">
        <v>11</v>
      </c>
      <c r="B15" s="62" t="s">
        <v>132</v>
      </c>
      <c r="C15" s="59">
        <f>2000+1000</f>
        <v>3000</v>
      </c>
      <c r="D15" s="59">
        <f>2000+1000</f>
        <v>3000</v>
      </c>
      <c r="E15" s="67">
        <v>22400000</v>
      </c>
    </row>
    <row r="16" spans="1:5" ht="30" x14ac:dyDescent="0.25">
      <c r="A16" s="61">
        <v>12</v>
      </c>
      <c r="B16" s="66" t="s">
        <v>133</v>
      </c>
      <c r="C16" s="59">
        <f>3500+1000+400</f>
        <v>4900</v>
      </c>
      <c r="D16" s="59">
        <f>3500+1000+400</f>
        <v>4900</v>
      </c>
      <c r="E16" s="67">
        <v>22800000</v>
      </c>
    </row>
    <row r="17" spans="1:5" ht="15.75" x14ac:dyDescent="0.25">
      <c r="A17" s="61">
        <v>13</v>
      </c>
      <c r="B17" s="62" t="s">
        <v>134</v>
      </c>
      <c r="C17" s="59">
        <f>3000+6300+3000+3000+500</f>
        <v>15800</v>
      </c>
      <c r="D17" s="59">
        <f>3000+6300+3000+3000+500</f>
        <v>15800</v>
      </c>
      <c r="E17" s="67">
        <v>30100000</v>
      </c>
    </row>
    <row r="18" spans="1:5" ht="15.75" x14ac:dyDescent="0.25">
      <c r="A18" s="61">
        <v>14</v>
      </c>
      <c r="B18" s="62" t="s">
        <v>135</v>
      </c>
      <c r="C18" s="59">
        <f>5000+4000+100</f>
        <v>9100</v>
      </c>
      <c r="D18" s="59">
        <f>5000+4000+100</f>
        <v>9100</v>
      </c>
      <c r="E18" s="67">
        <v>30100000</v>
      </c>
    </row>
    <row r="19" spans="1:5" ht="15.75" x14ac:dyDescent="0.25">
      <c r="A19" s="61">
        <v>15</v>
      </c>
      <c r="B19" s="62" t="s">
        <v>136</v>
      </c>
      <c r="C19" s="59">
        <f>50000+15000</f>
        <v>65000</v>
      </c>
      <c r="D19" s="59">
        <f>50000+15000</f>
        <v>65000</v>
      </c>
      <c r="E19" s="67">
        <v>30200000</v>
      </c>
    </row>
    <row r="20" spans="1:5" ht="15.75" x14ac:dyDescent="0.25">
      <c r="A20" s="61">
        <v>16</v>
      </c>
      <c r="B20" s="62" t="s">
        <v>174</v>
      </c>
      <c r="C20" s="59">
        <f>3000+2800</f>
        <v>5800</v>
      </c>
      <c r="D20" s="59">
        <f>3000+2800</f>
        <v>5800</v>
      </c>
      <c r="E20" s="67">
        <v>30200000</v>
      </c>
    </row>
    <row r="21" spans="1:5" ht="15.75" x14ac:dyDescent="0.25">
      <c r="A21" s="61">
        <v>17</v>
      </c>
      <c r="B21" s="62" t="s">
        <v>137</v>
      </c>
      <c r="C21" s="59">
        <f>300+300</f>
        <v>600</v>
      </c>
      <c r="D21" s="59">
        <f>300+300</f>
        <v>600</v>
      </c>
      <c r="E21" s="67">
        <v>31200000</v>
      </c>
    </row>
    <row r="22" spans="1:5" ht="15.75" x14ac:dyDescent="0.25">
      <c r="A22" s="61">
        <v>18</v>
      </c>
      <c r="B22" s="62" t="s">
        <v>34</v>
      </c>
      <c r="C22" s="59">
        <f>300+300</f>
        <v>600</v>
      </c>
      <c r="D22" s="59">
        <f>300+300</f>
        <v>600</v>
      </c>
      <c r="E22" s="67">
        <v>31300000</v>
      </c>
    </row>
    <row r="23" spans="1:5" ht="15.75" x14ac:dyDescent="0.25">
      <c r="A23" s="61">
        <v>19</v>
      </c>
      <c r="B23" s="62" t="s">
        <v>138</v>
      </c>
      <c r="C23" s="59">
        <f>100+100</f>
        <v>200</v>
      </c>
      <c r="D23" s="59">
        <f>100+100</f>
        <v>200</v>
      </c>
      <c r="E23" s="67">
        <v>31400000</v>
      </c>
    </row>
    <row r="24" spans="1:5" ht="15.75" x14ac:dyDescent="0.25">
      <c r="A24" s="61">
        <v>20</v>
      </c>
      <c r="B24" s="62" t="s">
        <v>139</v>
      </c>
      <c r="C24" s="59">
        <f>300+300</f>
        <v>600</v>
      </c>
      <c r="D24" s="59">
        <f>300+300</f>
        <v>600</v>
      </c>
      <c r="E24" s="67">
        <v>31500000</v>
      </c>
    </row>
    <row r="25" spans="1:5" ht="15.75" x14ac:dyDescent="0.25">
      <c r="A25" s="61">
        <v>21</v>
      </c>
      <c r="B25" s="62" t="s">
        <v>140</v>
      </c>
      <c r="C25" s="59">
        <f>30000</f>
        <v>30000</v>
      </c>
      <c r="D25" s="59">
        <f>30000</f>
        <v>30000</v>
      </c>
      <c r="E25" s="67">
        <v>32300000</v>
      </c>
    </row>
    <row r="26" spans="1:5" ht="15.75" x14ac:dyDescent="0.25">
      <c r="A26" s="61">
        <v>22</v>
      </c>
      <c r="B26" s="62" t="s">
        <v>141</v>
      </c>
      <c r="C26" s="74" t="s">
        <v>173</v>
      </c>
      <c r="D26" s="74">
        <f>100</f>
        <v>100</v>
      </c>
      <c r="E26" s="67">
        <v>32400000</v>
      </c>
    </row>
    <row r="27" spans="1:5" ht="15.75" x14ac:dyDescent="0.25">
      <c r="A27" s="61">
        <v>23</v>
      </c>
      <c r="B27" s="62" t="s">
        <v>142</v>
      </c>
      <c r="C27" s="59">
        <f>1500</f>
        <v>1500</v>
      </c>
      <c r="D27" s="59">
        <f>1500</f>
        <v>1500</v>
      </c>
      <c r="E27" s="67">
        <v>33700000</v>
      </c>
    </row>
    <row r="28" spans="1:5" ht="15.75" x14ac:dyDescent="0.25">
      <c r="A28" s="61">
        <v>24</v>
      </c>
      <c r="B28" s="62" t="s">
        <v>175</v>
      </c>
      <c r="C28" s="59">
        <f>97000</f>
        <v>97000</v>
      </c>
      <c r="D28" s="59">
        <f>97000</f>
        <v>97000</v>
      </c>
      <c r="E28" s="67">
        <v>34100000</v>
      </c>
    </row>
    <row r="29" spans="1:5" ht="15.75" x14ac:dyDescent="0.25">
      <c r="A29" s="61">
        <v>25</v>
      </c>
      <c r="B29" s="62" t="s">
        <v>143</v>
      </c>
      <c r="C29" s="59">
        <f>3000+1000+600</f>
        <v>4600</v>
      </c>
      <c r="D29" s="59">
        <f>3000+1000+600</f>
        <v>4600</v>
      </c>
      <c r="E29" s="67">
        <v>34300000</v>
      </c>
    </row>
    <row r="30" spans="1:5" ht="15.75" x14ac:dyDescent="0.25">
      <c r="A30" s="61">
        <v>26</v>
      </c>
      <c r="B30" s="62" t="s">
        <v>180</v>
      </c>
      <c r="C30" s="74" t="s">
        <v>173</v>
      </c>
      <c r="D30" s="74">
        <f>10000</f>
        <v>10000</v>
      </c>
      <c r="E30" s="67">
        <v>34900000</v>
      </c>
    </row>
    <row r="31" spans="1:5" ht="15.75" x14ac:dyDescent="0.25">
      <c r="A31" s="61">
        <v>27</v>
      </c>
      <c r="B31" s="62" t="s">
        <v>176</v>
      </c>
      <c r="C31" s="59">
        <f>5000+13000</f>
        <v>18000</v>
      </c>
      <c r="D31" s="59">
        <f>5000+13000</f>
        <v>18000</v>
      </c>
      <c r="E31" s="67">
        <v>38600000</v>
      </c>
    </row>
    <row r="32" spans="1:5" ht="15.75" x14ac:dyDescent="0.25">
      <c r="A32" s="61">
        <v>28</v>
      </c>
      <c r="B32" s="62" t="s">
        <v>144</v>
      </c>
      <c r="C32" s="59">
        <f>20000</f>
        <v>20000</v>
      </c>
      <c r="D32" s="59">
        <f>20000</f>
        <v>20000</v>
      </c>
      <c r="E32" s="67">
        <v>39100000</v>
      </c>
    </row>
    <row r="33" spans="1:5" ht="15.75" x14ac:dyDescent="0.25">
      <c r="A33" s="61">
        <v>29</v>
      </c>
      <c r="B33" s="62" t="s">
        <v>145</v>
      </c>
      <c r="C33" s="59">
        <f>300</f>
        <v>300</v>
      </c>
      <c r="D33" s="59">
        <f>300</f>
        <v>300</v>
      </c>
      <c r="E33" s="67">
        <v>39200000</v>
      </c>
    </row>
    <row r="34" spans="1:5" ht="15.75" x14ac:dyDescent="0.25">
      <c r="A34" s="61">
        <v>30</v>
      </c>
      <c r="B34" s="62" t="s">
        <v>146</v>
      </c>
      <c r="C34" s="59">
        <f>300</f>
        <v>300</v>
      </c>
      <c r="D34" s="59">
        <f>300</f>
        <v>300</v>
      </c>
      <c r="E34" s="67">
        <v>39500000</v>
      </c>
    </row>
    <row r="35" spans="1:5" ht="15.75" x14ac:dyDescent="0.25">
      <c r="A35" s="61">
        <v>31</v>
      </c>
      <c r="B35" s="62" t="s">
        <v>147</v>
      </c>
      <c r="C35" s="59">
        <f>450</f>
        <v>450</v>
      </c>
      <c r="D35" s="59">
        <f>450</f>
        <v>450</v>
      </c>
      <c r="E35" s="67">
        <v>39800000</v>
      </c>
    </row>
    <row r="36" spans="1:5" ht="15.75" x14ac:dyDescent="0.25">
      <c r="A36" s="61">
        <v>32</v>
      </c>
      <c r="B36" s="62" t="s">
        <v>148</v>
      </c>
      <c r="C36" s="59">
        <f>3000</f>
        <v>3000</v>
      </c>
      <c r="D36" s="59">
        <f>3000</f>
        <v>3000</v>
      </c>
      <c r="E36" s="67">
        <v>42500000</v>
      </c>
    </row>
    <row r="37" spans="1:5" ht="15.75" x14ac:dyDescent="0.25">
      <c r="A37" s="61">
        <v>33</v>
      </c>
      <c r="B37" s="62" t="s">
        <v>181</v>
      </c>
      <c r="C37" s="74">
        <f>500+500</f>
        <v>1000</v>
      </c>
      <c r="D37" s="74">
        <f>500+500-100</f>
        <v>900</v>
      </c>
      <c r="E37" s="67">
        <v>44100000</v>
      </c>
    </row>
    <row r="38" spans="1:5" ht="15.75" x14ac:dyDescent="0.25">
      <c r="A38" s="61">
        <v>34</v>
      </c>
      <c r="B38" s="62" t="s">
        <v>149</v>
      </c>
      <c r="C38" s="59">
        <f>100000</f>
        <v>100000</v>
      </c>
      <c r="D38" s="59">
        <f>100000</f>
        <v>100000</v>
      </c>
      <c r="E38" s="67">
        <v>44200000</v>
      </c>
    </row>
    <row r="39" spans="1:5" ht="30" x14ac:dyDescent="0.25">
      <c r="A39" s="61">
        <v>35</v>
      </c>
      <c r="B39" s="66" t="s">
        <v>150</v>
      </c>
      <c r="C39" s="59">
        <f>500+500</f>
        <v>1000</v>
      </c>
      <c r="D39" s="59">
        <f>500+500</f>
        <v>1000</v>
      </c>
      <c r="E39" s="67">
        <v>44400000</v>
      </c>
    </row>
    <row r="40" spans="1:5" ht="15.75" x14ac:dyDescent="0.25">
      <c r="A40" s="61">
        <v>36</v>
      </c>
      <c r="B40" s="66" t="s">
        <v>45</v>
      </c>
      <c r="C40" s="74">
        <f>435000+729000+25000+129000</f>
        <v>1318000</v>
      </c>
      <c r="D40" s="74">
        <f>435000+729000+25000+129000+200000</f>
        <v>1518000</v>
      </c>
      <c r="E40" s="67">
        <v>45100000</v>
      </c>
    </row>
    <row r="41" spans="1:5" ht="30" x14ac:dyDescent="0.25">
      <c r="A41" s="61">
        <v>37</v>
      </c>
      <c r="B41" s="66" t="s">
        <v>151</v>
      </c>
      <c r="C41" s="74">
        <f>4900+100000+250000+48000+1000000+200000+2163287+576000+61000+931600+30000+65000+110000+270000+30000+40000+10000+468000-12855</f>
        <v>6344932</v>
      </c>
      <c r="D41" s="74">
        <f>4900+100000+250000+48000+1000000+200000+2163287+576000+61000+931600+30000+65000+110000+270000+30000+40000+10000+468000-12855-4900-10000+200000+300000+10000+77000</f>
        <v>6917032</v>
      </c>
      <c r="E41" s="67">
        <v>45200000</v>
      </c>
    </row>
    <row r="42" spans="1:5" ht="15.75" x14ac:dyDescent="0.25">
      <c r="A42" s="61">
        <v>38</v>
      </c>
      <c r="B42" s="66" t="s">
        <v>47</v>
      </c>
      <c r="C42" s="59">
        <f>902000+119000</f>
        <v>1021000</v>
      </c>
      <c r="D42" s="59">
        <f>902000+119000</f>
        <v>1021000</v>
      </c>
      <c r="E42" s="67">
        <v>45300000</v>
      </c>
    </row>
    <row r="43" spans="1:5" ht="30" x14ac:dyDescent="0.25">
      <c r="A43" s="61">
        <v>39</v>
      </c>
      <c r="B43" s="66" t="s">
        <v>152</v>
      </c>
      <c r="C43" s="59">
        <f>500000+17000+140000+12855</f>
        <v>669855</v>
      </c>
      <c r="D43" s="59">
        <f>500000+17000+140000+12855</f>
        <v>669855</v>
      </c>
      <c r="E43" s="67">
        <v>45400000</v>
      </c>
    </row>
    <row r="44" spans="1:5" ht="15.75" x14ac:dyDescent="0.25">
      <c r="A44" s="61">
        <v>40</v>
      </c>
      <c r="B44" s="66" t="s">
        <v>153</v>
      </c>
      <c r="C44" s="74">
        <f>5000</f>
        <v>5000</v>
      </c>
      <c r="D44" s="74">
        <f>5000-5000</f>
        <v>0</v>
      </c>
      <c r="E44" s="67">
        <v>48400000</v>
      </c>
    </row>
    <row r="45" spans="1:5" ht="30" x14ac:dyDescent="0.25">
      <c r="A45" s="61">
        <v>41</v>
      </c>
      <c r="B45" s="66" t="s">
        <v>154</v>
      </c>
      <c r="C45" s="74">
        <f>34000+22000+4000+1400</f>
        <v>61400</v>
      </c>
      <c r="D45" s="74">
        <f>34000+22000+4000+1400-29000-7000</f>
        <v>25400</v>
      </c>
      <c r="E45" s="67">
        <v>50100000</v>
      </c>
    </row>
    <row r="46" spans="1:5" ht="30" x14ac:dyDescent="0.25">
      <c r="A46" s="61">
        <v>42</v>
      </c>
      <c r="B46" s="66" t="s">
        <v>155</v>
      </c>
      <c r="C46" s="59">
        <f>6700+2000+300</f>
        <v>9000</v>
      </c>
      <c r="D46" s="59">
        <f>6700+2000+300</f>
        <v>9000</v>
      </c>
      <c r="E46" s="67">
        <v>50300000</v>
      </c>
    </row>
    <row r="47" spans="1:5" ht="15.75" x14ac:dyDescent="0.25">
      <c r="A47" s="61">
        <v>43</v>
      </c>
      <c r="B47" s="66" t="s">
        <v>52</v>
      </c>
      <c r="C47" s="74">
        <f>50000</f>
        <v>50000</v>
      </c>
      <c r="D47" s="74">
        <f>50000+4200</f>
        <v>54200</v>
      </c>
      <c r="E47" s="67">
        <v>50700000</v>
      </c>
    </row>
    <row r="48" spans="1:5" ht="15.75" x14ac:dyDescent="0.25">
      <c r="A48" s="61">
        <v>44</v>
      </c>
      <c r="B48" s="62" t="s">
        <v>156</v>
      </c>
      <c r="C48" s="74">
        <f>10000+2000</f>
        <v>12000</v>
      </c>
      <c r="D48" s="74">
        <f>10000+2000-3000-1000</f>
        <v>8000</v>
      </c>
      <c r="E48" s="67">
        <v>55100000</v>
      </c>
    </row>
    <row r="49" spans="1:5" ht="15.75" x14ac:dyDescent="0.25">
      <c r="A49" s="61">
        <v>45</v>
      </c>
      <c r="B49" s="62" t="s">
        <v>157</v>
      </c>
      <c r="C49" s="74">
        <f>10000+4000</f>
        <v>14000</v>
      </c>
      <c r="D49" s="74">
        <f>10000+4000-3000-2000</f>
        <v>9000</v>
      </c>
      <c r="E49" s="67">
        <v>55300000</v>
      </c>
    </row>
    <row r="50" spans="1:5" ht="30" x14ac:dyDescent="0.25">
      <c r="A50" s="61">
        <v>46</v>
      </c>
      <c r="B50" s="66" t="s">
        <v>177</v>
      </c>
      <c r="C50" s="59">
        <f>4500</f>
        <v>4500</v>
      </c>
      <c r="D50" s="59">
        <f>4500</f>
        <v>4500</v>
      </c>
      <c r="E50" s="67">
        <v>60100000</v>
      </c>
    </row>
    <row r="51" spans="1:5" ht="15.75" x14ac:dyDescent="0.25">
      <c r="A51" s="61">
        <v>47</v>
      </c>
      <c r="B51" s="62" t="s">
        <v>56</v>
      </c>
      <c r="C51" s="59">
        <f>300+300</f>
        <v>600</v>
      </c>
      <c r="D51" s="59">
        <f>300+300</f>
        <v>600</v>
      </c>
      <c r="E51" s="67">
        <v>64200000</v>
      </c>
    </row>
    <row r="52" spans="1:5" ht="15.75" x14ac:dyDescent="0.25">
      <c r="A52" s="61">
        <v>48</v>
      </c>
      <c r="B52" s="62" t="s">
        <v>158</v>
      </c>
      <c r="C52" s="59">
        <f>500+500+500</f>
        <v>1500</v>
      </c>
      <c r="D52" s="59">
        <f>500+500+500</f>
        <v>1500</v>
      </c>
      <c r="E52" s="67">
        <v>64200000</v>
      </c>
    </row>
    <row r="53" spans="1:5" ht="15.75" x14ac:dyDescent="0.25">
      <c r="A53" s="61">
        <v>49</v>
      </c>
      <c r="B53" s="62" t="s">
        <v>59</v>
      </c>
      <c r="C53" s="59">
        <f>3000</f>
        <v>3000</v>
      </c>
      <c r="D53" s="59">
        <f>3000</f>
        <v>3000</v>
      </c>
      <c r="E53" s="67">
        <v>64200000</v>
      </c>
    </row>
    <row r="54" spans="1:5" ht="30" x14ac:dyDescent="0.25">
      <c r="A54" s="61">
        <v>50</v>
      </c>
      <c r="B54" s="66" t="s">
        <v>159</v>
      </c>
      <c r="C54" s="59">
        <f>52100+9000+1500</f>
        <v>62600</v>
      </c>
      <c r="D54" s="59">
        <f>52100+9000+1500</f>
        <v>62600</v>
      </c>
      <c r="E54" s="67">
        <v>64200000</v>
      </c>
    </row>
    <row r="55" spans="1:5" ht="15.75" x14ac:dyDescent="0.25">
      <c r="A55" s="61">
        <v>51</v>
      </c>
      <c r="B55" s="66" t="s">
        <v>160</v>
      </c>
      <c r="C55" s="59">
        <f>630000</f>
        <v>630000</v>
      </c>
      <c r="D55" s="59">
        <f>630000</f>
        <v>630000</v>
      </c>
      <c r="E55" s="67">
        <v>71200000</v>
      </c>
    </row>
    <row r="56" spans="1:5" ht="15.75" x14ac:dyDescent="0.25">
      <c r="A56" s="61">
        <v>52</v>
      </c>
      <c r="B56" s="62" t="s">
        <v>161</v>
      </c>
      <c r="C56" s="59">
        <f>414400</f>
        <v>414400</v>
      </c>
      <c r="D56" s="59">
        <f>414400</f>
        <v>414400</v>
      </c>
      <c r="E56" s="67">
        <v>71300000</v>
      </c>
    </row>
    <row r="57" spans="1:5" ht="15.75" x14ac:dyDescent="0.25">
      <c r="A57" s="61">
        <v>53</v>
      </c>
      <c r="B57" s="62" t="s">
        <v>162</v>
      </c>
      <c r="C57" s="68">
        <f>200000</f>
        <v>200000</v>
      </c>
      <c r="D57" s="68">
        <f>200000</f>
        <v>200000</v>
      </c>
      <c r="E57" s="67">
        <v>71400000</v>
      </c>
    </row>
    <row r="58" spans="1:5" ht="15.75" x14ac:dyDescent="0.25">
      <c r="A58" s="61">
        <v>54</v>
      </c>
      <c r="B58" s="66" t="s">
        <v>64</v>
      </c>
      <c r="C58" s="59">
        <f>4200+4200+1000</f>
        <v>9400</v>
      </c>
      <c r="D58" s="59">
        <f>4200+4200+1000</f>
        <v>9400</v>
      </c>
      <c r="E58" s="67">
        <v>72400000</v>
      </c>
    </row>
    <row r="59" spans="1:5" ht="15.75" x14ac:dyDescent="0.25">
      <c r="A59" s="61">
        <v>55</v>
      </c>
      <c r="B59" s="66" t="s">
        <v>65</v>
      </c>
      <c r="C59" s="59">
        <f>20000</f>
        <v>20000</v>
      </c>
      <c r="D59" s="59">
        <f>20000</f>
        <v>20000</v>
      </c>
      <c r="E59" s="67">
        <v>79200000</v>
      </c>
    </row>
    <row r="60" spans="1:5" ht="15.75" x14ac:dyDescent="0.25">
      <c r="A60" s="61">
        <v>56</v>
      </c>
      <c r="B60" s="66"/>
      <c r="C60" s="59">
        <f>4990</f>
        <v>4990</v>
      </c>
      <c r="D60" s="59">
        <f>4990</f>
        <v>4990</v>
      </c>
      <c r="E60" s="67">
        <v>79400000</v>
      </c>
    </row>
    <row r="61" spans="1:5" ht="15.75" x14ac:dyDescent="0.25">
      <c r="A61" s="61">
        <v>57</v>
      </c>
      <c r="B61" s="66" t="s">
        <v>178</v>
      </c>
      <c r="C61" s="59">
        <f>3000</f>
        <v>3000</v>
      </c>
      <c r="D61" s="59">
        <f>3000</f>
        <v>3000</v>
      </c>
      <c r="E61" s="67">
        <v>79500000</v>
      </c>
    </row>
    <row r="62" spans="1:5" ht="15.75" x14ac:dyDescent="0.25">
      <c r="A62" s="61">
        <v>58</v>
      </c>
      <c r="B62" s="66" t="s">
        <v>163</v>
      </c>
      <c r="C62" s="69">
        <f>98400+69600+98400</f>
        <v>266400</v>
      </c>
      <c r="D62" s="69">
        <f>98400+69600+98400</f>
        <v>266400</v>
      </c>
      <c r="E62" s="67">
        <v>79700000</v>
      </c>
    </row>
    <row r="63" spans="1:5" ht="15.75" x14ac:dyDescent="0.25">
      <c r="A63" s="61">
        <v>59</v>
      </c>
      <c r="B63" s="66" t="s">
        <v>179</v>
      </c>
      <c r="C63" s="69">
        <f>20000</f>
        <v>20000</v>
      </c>
      <c r="D63" s="69">
        <f>20000</f>
        <v>20000</v>
      </c>
      <c r="E63" s="67">
        <v>79800000</v>
      </c>
    </row>
    <row r="64" spans="1:5" ht="15.75" x14ac:dyDescent="0.25">
      <c r="A64" s="61">
        <v>60</v>
      </c>
      <c r="B64" s="66" t="s">
        <v>164</v>
      </c>
      <c r="C64" s="69">
        <f>4000</f>
        <v>4000</v>
      </c>
      <c r="D64" s="69">
        <f>4000</f>
        <v>4000</v>
      </c>
      <c r="E64" s="67">
        <v>79900000</v>
      </c>
    </row>
    <row r="65" spans="1:5" ht="15.75" x14ac:dyDescent="0.25">
      <c r="A65" s="61">
        <v>61</v>
      </c>
      <c r="B65" s="66" t="s">
        <v>165</v>
      </c>
      <c r="C65" s="70">
        <f>39200</f>
        <v>39200</v>
      </c>
      <c r="D65" s="70">
        <f>39200</f>
        <v>39200</v>
      </c>
      <c r="E65" s="67">
        <v>80500000</v>
      </c>
    </row>
    <row r="66" spans="1:5" ht="15.75" x14ac:dyDescent="0.25">
      <c r="A66" s="61">
        <v>62</v>
      </c>
      <c r="B66" s="66" t="s">
        <v>166</v>
      </c>
      <c r="C66" s="74">
        <f>120000</f>
        <v>120000</v>
      </c>
      <c r="D66" s="74">
        <f>120000-20000-4200</f>
        <v>95800</v>
      </c>
      <c r="E66" s="67">
        <v>90900000</v>
      </c>
    </row>
    <row r="67" spans="1:5" ht="15.75" x14ac:dyDescent="0.25">
      <c r="A67" s="61">
        <v>63</v>
      </c>
      <c r="B67" s="66" t="s">
        <v>167</v>
      </c>
      <c r="C67" s="70">
        <f>3900+1000</f>
        <v>4900</v>
      </c>
      <c r="D67" s="70">
        <f>3900+1000</f>
        <v>4900</v>
      </c>
      <c r="E67" s="67">
        <v>92200000</v>
      </c>
    </row>
    <row r="68" spans="1:5" ht="15.75" x14ac:dyDescent="0.25">
      <c r="A68" s="61">
        <v>64</v>
      </c>
      <c r="B68" s="66" t="s">
        <v>74</v>
      </c>
      <c r="C68" s="70">
        <f>4900</f>
        <v>4900</v>
      </c>
      <c r="D68" s="70">
        <f>4900</f>
        <v>4900</v>
      </c>
      <c r="E68" s="67">
        <v>92400000</v>
      </c>
    </row>
    <row r="69" spans="1:5" ht="15.75" x14ac:dyDescent="0.25">
      <c r="A69" s="61">
        <v>65</v>
      </c>
      <c r="B69" s="66" t="s">
        <v>168</v>
      </c>
      <c r="C69" s="70">
        <f>7600</f>
        <v>7600</v>
      </c>
      <c r="D69" s="70">
        <f>7600</f>
        <v>7600</v>
      </c>
      <c r="E69" s="67">
        <v>92500000</v>
      </c>
    </row>
    <row r="70" spans="1:5" ht="15.75" x14ac:dyDescent="0.25">
      <c r="A70" s="61">
        <v>66</v>
      </c>
      <c r="B70" s="66" t="s">
        <v>169</v>
      </c>
      <c r="C70" s="70">
        <f>3000</f>
        <v>3000</v>
      </c>
      <c r="D70" s="70">
        <f>3000</f>
        <v>3000</v>
      </c>
      <c r="E70" s="67">
        <v>98300000</v>
      </c>
    </row>
    <row r="71" spans="1:5" x14ac:dyDescent="0.25">
      <c r="A71" s="61"/>
      <c r="B71" s="71"/>
      <c r="C71" s="69">
        <f>SUM(C31:C70)</f>
        <v>11473227</v>
      </c>
      <c r="D71" s="69">
        <f>SUM(D5:D70)</f>
        <v>12586877</v>
      </c>
      <c r="E71" s="71"/>
    </row>
    <row r="72" spans="1:5" x14ac:dyDescent="0.25">
      <c r="C72" s="72"/>
      <c r="D72" s="72"/>
    </row>
    <row r="73" spans="1:5" x14ac:dyDescent="0.25">
      <c r="C73" s="72"/>
      <c r="D73" s="72">
        <f>D71-გეგმა!G88</f>
        <v>220867</v>
      </c>
    </row>
    <row r="74" spans="1:5" x14ac:dyDescent="0.25">
      <c r="C74" s="72"/>
      <c r="D74" s="72"/>
    </row>
    <row r="75" spans="1:5" x14ac:dyDescent="0.25">
      <c r="C75" s="72"/>
      <c r="D75" s="72"/>
    </row>
    <row r="76" spans="1:5" x14ac:dyDescent="0.25">
      <c r="C76" s="72"/>
      <c r="D76" s="72"/>
    </row>
    <row r="78" spans="1:5" x14ac:dyDescent="0.25">
      <c r="C78" s="72"/>
      <c r="D78" s="72"/>
    </row>
  </sheetData>
  <mergeCells count="4">
    <mergeCell ref="A1:E1"/>
    <mergeCell ref="A2:B2"/>
    <mergeCell ref="A3:B3"/>
    <mergeCell ref="A4:B4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გეგმა</vt:lpstr>
      <vt:lpstr>ბიუჯეტი</vt:lpstr>
      <vt:lpstr>22 იანვარი</vt:lpstr>
      <vt:lpstr>ბიუჯეტი!Print_Area</vt:lpstr>
      <vt:lpstr>გეგმა!Print_Area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2021-03-19T19:53:45Z</dcterms:modified>
</cp:coreProperties>
</file>